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8990" windowHeight="11430" tabRatio="863" activeTab="1"/>
  </bookViews>
  <sheets>
    <sheet name="сводная" sheetId="42" r:id="rId1"/>
    <sheet name="1-3 день" sheetId="43" r:id="rId2"/>
    <sheet name="4-6 день" sheetId="44" r:id="rId3"/>
    <sheet name="7-9 день" sheetId="45" r:id="rId4"/>
    <sheet name="10-12 день" sheetId="46" r:id="rId5"/>
    <sheet name="000" sheetId="29" r:id="rId6"/>
  </sheets>
  <definedNames>
    <definedName name="_xlnm.Print_Area" localSheetId="4">'10-12 день'!$A$1:$O$72</definedName>
    <definedName name="_xlnm.Print_Area" localSheetId="3">'7-9 день'!$A$1:$O$61</definedName>
  </definedNames>
  <calcPr calcId="144525"/>
</workbook>
</file>

<file path=xl/calcChain.xml><?xml version="1.0" encoding="utf-8"?>
<calcChain xmlns="http://schemas.openxmlformats.org/spreadsheetml/2006/main">
  <c r="G32" i="44" l="1"/>
  <c r="I41" i="44"/>
  <c r="I42" i="44"/>
  <c r="L35" i="44"/>
  <c r="K35" i="44"/>
  <c r="J35" i="44"/>
  <c r="I35" i="44"/>
  <c r="H35" i="44"/>
  <c r="N35" i="44" s="1"/>
  <c r="G35" i="44"/>
  <c r="M35" i="44" s="1"/>
  <c r="L34" i="44"/>
  <c r="K34" i="44"/>
  <c r="J34" i="44"/>
  <c r="N34" i="44" s="1"/>
  <c r="I34" i="44"/>
  <c r="H34" i="44"/>
  <c r="G34" i="44"/>
  <c r="M34" i="44" s="1"/>
  <c r="K74" i="43"/>
  <c r="L67" i="43"/>
  <c r="K67" i="43"/>
  <c r="J67" i="43"/>
  <c r="I67" i="43"/>
  <c r="H67" i="43"/>
  <c r="N67" i="43" s="1"/>
  <c r="G67" i="43"/>
  <c r="M67" i="43" s="1"/>
  <c r="L14" i="45" l="1"/>
  <c r="K14" i="45"/>
  <c r="J14" i="45"/>
  <c r="I14" i="45"/>
  <c r="H14" i="45"/>
  <c r="G14" i="45"/>
  <c r="M14" i="45" s="1"/>
  <c r="L32" i="45"/>
  <c r="K32" i="45"/>
  <c r="J32" i="45"/>
  <c r="I32" i="45"/>
  <c r="H32" i="45"/>
  <c r="N32" i="45" s="1"/>
  <c r="G32" i="45"/>
  <c r="I14" i="46"/>
  <c r="E23" i="46"/>
  <c r="E14" i="46"/>
  <c r="M43" i="46"/>
  <c r="G43" i="46"/>
  <c r="E43" i="46"/>
  <c r="M33" i="46"/>
  <c r="K33" i="46"/>
  <c r="G33" i="46"/>
  <c r="F33" i="46"/>
  <c r="E33" i="46"/>
  <c r="N53" i="46"/>
  <c r="M53" i="46"/>
  <c r="L53" i="46"/>
  <c r="K53" i="46"/>
  <c r="J53" i="46"/>
  <c r="I53" i="46"/>
  <c r="H53" i="46"/>
  <c r="F53" i="46"/>
  <c r="E53" i="46"/>
  <c r="G53" i="46"/>
  <c r="L49" i="46"/>
  <c r="K49" i="46"/>
  <c r="J49" i="46"/>
  <c r="I49" i="46"/>
  <c r="H49" i="46"/>
  <c r="G49" i="46"/>
  <c r="M49" i="46" s="1"/>
  <c r="M62" i="46"/>
  <c r="L28" i="46"/>
  <c r="K28" i="46"/>
  <c r="J28" i="46"/>
  <c r="I28" i="46"/>
  <c r="H28" i="46"/>
  <c r="N28" i="46" s="1"/>
  <c r="G28" i="46"/>
  <c r="M28" i="46" s="1"/>
  <c r="L30" i="46"/>
  <c r="K30" i="46"/>
  <c r="J30" i="46"/>
  <c r="I30" i="46"/>
  <c r="H30" i="46"/>
  <c r="N30" i="46" s="1"/>
  <c r="G30" i="46"/>
  <c r="L10" i="46"/>
  <c r="K10" i="46"/>
  <c r="J10" i="46"/>
  <c r="I10" i="46"/>
  <c r="H10" i="46"/>
  <c r="G10" i="46"/>
  <c r="L11" i="46"/>
  <c r="K11" i="46"/>
  <c r="J11" i="46"/>
  <c r="I11" i="46"/>
  <c r="H11" i="46"/>
  <c r="G11" i="46"/>
  <c r="M11" i="46" s="1"/>
  <c r="L49" i="45"/>
  <c r="K49" i="45"/>
  <c r="J49" i="45"/>
  <c r="I49" i="45"/>
  <c r="H49" i="45"/>
  <c r="G49" i="45"/>
  <c r="M49" i="45" s="1"/>
  <c r="N49" i="45" l="1"/>
  <c r="N14" i="45"/>
  <c r="M32" i="45"/>
  <c r="N49" i="46"/>
  <c r="M30" i="46"/>
  <c r="N11" i="46"/>
  <c r="M10" i="46"/>
  <c r="N10" i="46"/>
  <c r="G56" i="45"/>
  <c r="H56" i="45"/>
  <c r="I56" i="45"/>
  <c r="J56" i="45"/>
  <c r="K56" i="45"/>
  <c r="L56" i="45"/>
  <c r="L47" i="45"/>
  <c r="K47" i="45"/>
  <c r="J47" i="45"/>
  <c r="I47" i="45"/>
  <c r="H47" i="45"/>
  <c r="G47" i="45"/>
  <c r="M47" i="45" s="1"/>
  <c r="L29" i="45"/>
  <c r="K29" i="45"/>
  <c r="J29" i="45"/>
  <c r="I29" i="45"/>
  <c r="M29" i="45" s="1"/>
  <c r="H29" i="45"/>
  <c r="G29" i="45"/>
  <c r="G45" i="45"/>
  <c r="H45" i="45"/>
  <c r="I45" i="45"/>
  <c r="J45" i="45"/>
  <c r="K45" i="45"/>
  <c r="L45" i="45"/>
  <c r="G46" i="45"/>
  <c r="H46" i="45"/>
  <c r="I46" i="45"/>
  <c r="J46" i="45"/>
  <c r="N46" i="45" s="1"/>
  <c r="K46" i="45"/>
  <c r="L46" i="45"/>
  <c r="G48" i="45"/>
  <c r="H48" i="45"/>
  <c r="I48" i="45"/>
  <c r="J48" i="45"/>
  <c r="K48" i="45"/>
  <c r="L48" i="45"/>
  <c r="E50" i="45"/>
  <c r="F50" i="45"/>
  <c r="G52" i="45"/>
  <c r="H52" i="45"/>
  <c r="I52" i="45"/>
  <c r="J52" i="45"/>
  <c r="K52" i="45"/>
  <c r="L52" i="45"/>
  <c r="G53" i="45"/>
  <c r="H53" i="45"/>
  <c r="I53" i="45"/>
  <c r="J53" i="45"/>
  <c r="K53" i="45"/>
  <c r="L53" i="45"/>
  <c r="G54" i="45"/>
  <c r="M54" i="45" s="1"/>
  <c r="H54" i="45"/>
  <c r="I54" i="45"/>
  <c r="J54" i="45"/>
  <c r="J59" i="45" s="1"/>
  <c r="K54" i="45"/>
  <c r="L54" i="45"/>
  <c r="G55" i="45"/>
  <c r="M55" i="45" s="1"/>
  <c r="H55" i="45"/>
  <c r="I55" i="45"/>
  <c r="J55" i="45"/>
  <c r="K55" i="45"/>
  <c r="L55" i="45"/>
  <c r="G57" i="45"/>
  <c r="H57" i="45"/>
  <c r="I57" i="45"/>
  <c r="J57" i="45"/>
  <c r="K57" i="45"/>
  <c r="L57" i="45"/>
  <c r="G58" i="45"/>
  <c r="M58" i="45" s="1"/>
  <c r="H58" i="45"/>
  <c r="I58" i="45"/>
  <c r="J58" i="45"/>
  <c r="K58" i="45"/>
  <c r="L58" i="45"/>
  <c r="E59" i="45"/>
  <c r="F59" i="45"/>
  <c r="G30" i="45"/>
  <c r="H30" i="45"/>
  <c r="I30" i="45"/>
  <c r="J30" i="45"/>
  <c r="K30" i="45"/>
  <c r="L30" i="45"/>
  <c r="L31" i="45"/>
  <c r="K31" i="45"/>
  <c r="J31" i="45"/>
  <c r="I31" i="45"/>
  <c r="H31" i="45"/>
  <c r="G31" i="45"/>
  <c r="L7" i="45"/>
  <c r="K7" i="45"/>
  <c r="J7" i="45"/>
  <c r="I7" i="45"/>
  <c r="H7" i="45"/>
  <c r="G7" i="45"/>
  <c r="G10" i="45"/>
  <c r="H10" i="45"/>
  <c r="I10" i="45"/>
  <c r="J10" i="45"/>
  <c r="K10" i="45"/>
  <c r="L10" i="45"/>
  <c r="L8" i="45"/>
  <c r="K8" i="45"/>
  <c r="J8" i="45"/>
  <c r="I8" i="45"/>
  <c r="H8" i="45"/>
  <c r="G8" i="45"/>
  <c r="L12" i="45"/>
  <c r="K12" i="45"/>
  <c r="J12" i="45"/>
  <c r="I12" i="45"/>
  <c r="H12" i="45"/>
  <c r="G12" i="45"/>
  <c r="M45" i="45" l="1"/>
  <c r="N56" i="45"/>
  <c r="N54" i="45"/>
  <c r="N48" i="45"/>
  <c r="I50" i="45"/>
  <c r="M48" i="45"/>
  <c r="N57" i="45"/>
  <c r="N53" i="45"/>
  <c r="M57" i="45"/>
  <c r="M53" i="45"/>
  <c r="L50" i="45"/>
  <c r="N45" i="45"/>
  <c r="M56" i="45"/>
  <c r="K59" i="45"/>
  <c r="G59" i="45"/>
  <c r="N58" i="45"/>
  <c r="N55" i="45"/>
  <c r="M52" i="45"/>
  <c r="M59" i="45" s="1"/>
  <c r="I59" i="45"/>
  <c r="I60" i="45" s="1"/>
  <c r="M46" i="45"/>
  <c r="N29" i="45"/>
  <c r="N47" i="45"/>
  <c r="L59" i="45"/>
  <c r="N52" i="45"/>
  <c r="N59" i="45" s="1"/>
  <c r="G50" i="45"/>
  <c r="J50" i="45"/>
  <c r="J60" i="45" s="1"/>
  <c r="H50" i="45"/>
  <c r="K50" i="45"/>
  <c r="K60" i="45" s="1"/>
  <c r="H59" i="45"/>
  <c r="N30" i="45"/>
  <c r="M30" i="45"/>
  <c r="N10" i="45"/>
  <c r="M10" i="45"/>
  <c r="M12" i="45"/>
  <c r="M7" i="45"/>
  <c r="N12" i="45"/>
  <c r="N7" i="45"/>
  <c r="M31" i="45"/>
  <c r="N31" i="45"/>
  <c r="N8" i="45"/>
  <c r="M8" i="45"/>
  <c r="M59" i="44"/>
  <c r="I59" i="44"/>
  <c r="G59" i="44"/>
  <c r="M50" i="44"/>
  <c r="G50" i="44"/>
  <c r="L47" i="44"/>
  <c r="K47" i="44"/>
  <c r="J47" i="44"/>
  <c r="I47" i="44"/>
  <c r="H47" i="44"/>
  <c r="N47" i="44" s="1"/>
  <c r="G47" i="44"/>
  <c r="M47" i="44" s="1"/>
  <c r="L46" i="44"/>
  <c r="K46" i="44"/>
  <c r="J46" i="44"/>
  <c r="I46" i="44"/>
  <c r="H46" i="44"/>
  <c r="N46" i="44" s="1"/>
  <c r="G46" i="44"/>
  <c r="M46" i="44" s="1"/>
  <c r="L49" i="44"/>
  <c r="K49" i="44"/>
  <c r="J49" i="44"/>
  <c r="I49" i="44"/>
  <c r="H49" i="44"/>
  <c r="N49" i="44" s="1"/>
  <c r="G49" i="44"/>
  <c r="M49" i="44" s="1"/>
  <c r="N32" i="44"/>
  <c r="M32" i="44"/>
  <c r="L32" i="44"/>
  <c r="K32" i="44"/>
  <c r="J32" i="44"/>
  <c r="I32" i="44"/>
  <c r="H32" i="44"/>
  <c r="F32" i="44"/>
  <c r="E32" i="44"/>
  <c r="M74" i="43"/>
  <c r="G74" i="43"/>
  <c r="L10" i="44"/>
  <c r="K10" i="44"/>
  <c r="J10" i="44"/>
  <c r="I10" i="44"/>
  <c r="H10" i="44"/>
  <c r="G10" i="44"/>
  <c r="L9" i="44"/>
  <c r="K9" i="44"/>
  <c r="J9" i="44"/>
  <c r="I9" i="44"/>
  <c r="H9" i="44"/>
  <c r="G9" i="44"/>
  <c r="M9" i="44" s="1"/>
  <c r="L60" i="45" l="1"/>
  <c r="N50" i="45"/>
  <c r="N60" i="45" s="1"/>
  <c r="H60" i="45"/>
  <c r="M50" i="45"/>
  <c r="M60" i="45" s="1"/>
  <c r="G60" i="45"/>
  <c r="N9" i="44"/>
  <c r="M10" i="44"/>
  <c r="N10" i="44"/>
  <c r="L26" i="44"/>
  <c r="K26" i="44"/>
  <c r="J26" i="44"/>
  <c r="I26" i="44"/>
  <c r="H26" i="44"/>
  <c r="G26" i="44"/>
  <c r="L25" i="44"/>
  <c r="K25" i="44"/>
  <c r="J25" i="44"/>
  <c r="I25" i="44"/>
  <c r="H25" i="44"/>
  <c r="N25" i="44" s="1"/>
  <c r="G25" i="44"/>
  <c r="M25" i="44" s="1"/>
  <c r="L29" i="44"/>
  <c r="K29" i="44"/>
  <c r="J29" i="44"/>
  <c r="I29" i="44"/>
  <c r="H29" i="44"/>
  <c r="G29" i="44"/>
  <c r="L16" i="46"/>
  <c r="K16" i="46"/>
  <c r="J16" i="46"/>
  <c r="I16" i="46"/>
  <c r="H16" i="46"/>
  <c r="G16" i="46"/>
  <c r="L36" i="45"/>
  <c r="K36" i="45"/>
  <c r="J36" i="45"/>
  <c r="I36" i="45"/>
  <c r="H36" i="45"/>
  <c r="G36" i="45"/>
  <c r="G35" i="45"/>
  <c r="H35" i="45"/>
  <c r="I35" i="45"/>
  <c r="J35" i="45"/>
  <c r="K35" i="45"/>
  <c r="L35" i="45"/>
  <c r="L28" i="43"/>
  <c r="K28" i="43"/>
  <c r="J28" i="43"/>
  <c r="I28" i="43"/>
  <c r="H28" i="43"/>
  <c r="G28" i="43"/>
  <c r="L27" i="43"/>
  <c r="K27" i="43"/>
  <c r="J27" i="43"/>
  <c r="I27" i="43"/>
  <c r="H27" i="43"/>
  <c r="G27" i="43"/>
  <c r="N16" i="46" l="1"/>
  <c r="M16" i="46"/>
  <c r="M35" i="45"/>
  <c r="N35" i="45"/>
  <c r="M36" i="45"/>
  <c r="N36" i="45"/>
  <c r="N27" i="43"/>
  <c r="N28" i="43"/>
  <c r="M27" i="43"/>
  <c r="M28" i="43"/>
  <c r="N26" i="44"/>
  <c r="M26" i="44"/>
  <c r="M29" i="44"/>
  <c r="N29" i="44"/>
  <c r="G52" i="44"/>
  <c r="H52" i="44"/>
  <c r="N52" i="44" s="1"/>
  <c r="I52" i="44"/>
  <c r="J52" i="44"/>
  <c r="K52" i="44"/>
  <c r="L52" i="44"/>
  <c r="L46" i="43"/>
  <c r="K46" i="43"/>
  <c r="J46" i="43"/>
  <c r="I46" i="43"/>
  <c r="H46" i="43"/>
  <c r="G46" i="43"/>
  <c r="G66" i="43"/>
  <c r="H66" i="43"/>
  <c r="I66" i="43"/>
  <c r="J66" i="43"/>
  <c r="K66" i="43"/>
  <c r="L66" i="43"/>
  <c r="L71" i="43"/>
  <c r="K71" i="43"/>
  <c r="J71" i="43"/>
  <c r="I71" i="43"/>
  <c r="H71" i="43"/>
  <c r="G71" i="43"/>
  <c r="L68" i="43"/>
  <c r="K68" i="43"/>
  <c r="J68" i="43"/>
  <c r="I68" i="43"/>
  <c r="H68" i="43"/>
  <c r="G68" i="43"/>
  <c r="M66" i="43" l="1"/>
  <c r="N66" i="43"/>
  <c r="M52" i="44"/>
  <c r="M46" i="43"/>
  <c r="N46" i="43"/>
  <c r="M71" i="43"/>
  <c r="N71" i="43"/>
  <c r="M68" i="43"/>
  <c r="N68" i="43"/>
  <c r="L61" i="43" l="1"/>
  <c r="K61" i="43"/>
  <c r="J61" i="43"/>
  <c r="I61" i="43"/>
  <c r="H61" i="43"/>
  <c r="G61" i="43"/>
  <c r="L63" i="43"/>
  <c r="K63" i="43"/>
  <c r="J63" i="43"/>
  <c r="I63" i="43"/>
  <c r="H63" i="43"/>
  <c r="G63" i="43"/>
  <c r="L41" i="43"/>
  <c r="K41" i="43"/>
  <c r="J41" i="43"/>
  <c r="I41" i="43"/>
  <c r="H41" i="43"/>
  <c r="G41" i="43"/>
  <c r="L43" i="43"/>
  <c r="K43" i="43"/>
  <c r="J43" i="43"/>
  <c r="I43" i="43"/>
  <c r="H43" i="43"/>
  <c r="G43" i="43"/>
  <c r="L23" i="43"/>
  <c r="K23" i="43"/>
  <c r="J23" i="43"/>
  <c r="I23" i="43"/>
  <c r="H23" i="43"/>
  <c r="G23" i="43"/>
  <c r="N63" i="43" l="1"/>
  <c r="M43" i="43"/>
  <c r="M61" i="43"/>
  <c r="N61" i="43"/>
  <c r="N43" i="43"/>
  <c r="M63" i="43"/>
  <c r="M41" i="43"/>
  <c r="N41" i="43"/>
  <c r="N23" i="43"/>
  <c r="M23" i="43"/>
  <c r="E74" i="43"/>
  <c r="E64" i="43"/>
  <c r="E13" i="44"/>
  <c r="F22" i="44"/>
  <c r="E22" i="44"/>
  <c r="F23" i="46"/>
  <c r="F14" i="46"/>
  <c r="L21" i="44"/>
  <c r="K21" i="44"/>
  <c r="J21" i="44"/>
  <c r="I21" i="44"/>
  <c r="H21" i="44"/>
  <c r="G21" i="44"/>
  <c r="L20" i="44"/>
  <c r="K20" i="44"/>
  <c r="J20" i="44"/>
  <c r="I20" i="44"/>
  <c r="H20" i="44"/>
  <c r="G20" i="44"/>
  <c r="L19" i="44"/>
  <c r="K19" i="44"/>
  <c r="J19" i="44"/>
  <c r="I19" i="44"/>
  <c r="H19" i="44"/>
  <c r="G19" i="44"/>
  <c r="L18" i="44"/>
  <c r="K18" i="44"/>
  <c r="J18" i="44"/>
  <c r="I18" i="44"/>
  <c r="H18" i="44"/>
  <c r="G18" i="44"/>
  <c r="L17" i="44"/>
  <c r="K17" i="44"/>
  <c r="J17" i="44"/>
  <c r="I17" i="44"/>
  <c r="H17" i="44"/>
  <c r="G17" i="44"/>
  <c r="L16" i="44"/>
  <c r="K16" i="44"/>
  <c r="J16" i="44"/>
  <c r="I16" i="44"/>
  <c r="H16" i="44"/>
  <c r="G16" i="44"/>
  <c r="L15" i="44"/>
  <c r="K15" i="44"/>
  <c r="J15" i="44"/>
  <c r="I15" i="44"/>
  <c r="H15" i="44"/>
  <c r="G15" i="44"/>
  <c r="F13" i="44"/>
  <c r="L11" i="44"/>
  <c r="K11" i="44"/>
  <c r="J11" i="44"/>
  <c r="I11" i="44"/>
  <c r="H11" i="44"/>
  <c r="G11" i="44"/>
  <c r="L12" i="44"/>
  <c r="K12" i="44"/>
  <c r="J12" i="44"/>
  <c r="I12" i="44"/>
  <c r="H12" i="44"/>
  <c r="G12" i="44"/>
  <c r="L8" i="44"/>
  <c r="K8" i="44"/>
  <c r="J8" i="44"/>
  <c r="I8" i="44"/>
  <c r="H8" i="44"/>
  <c r="G8" i="44"/>
  <c r="L7" i="44"/>
  <c r="K7" i="44"/>
  <c r="J7" i="44"/>
  <c r="I7" i="44"/>
  <c r="H7" i="44"/>
  <c r="H13" i="44" s="1"/>
  <c r="G7" i="44"/>
  <c r="L22" i="46"/>
  <c r="K22" i="46"/>
  <c r="J22" i="46"/>
  <c r="I22" i="46"/>
  <c r="H22" i="46"/>
  <c r="G22" i="46"/>
  <c r="L21" i="46"/>
  <c r="K21" i="46"/>
  <c r="J21" i="46"/>
  <c r="I21" i="46"/>
  <c r="H21" i="46"/>
  <c r="G21" i="46"/>
  <c r="L20" i="46"/>
  <c r="K20" i="46"/>
  <c r="J20" i="46"/>
  <c r="I20" i="46"/>
  <c r="H20" i="46"/>
  <c r="G20" i="46"/>
  <c r="L19" i="46"/>
  <c r="K19" i="46"/>
  <c r="J19" i="46"/>
  <c r="I19" i="46"/>
  <c r="H19" i="46"/>
  <c r="G19" i="46"/>
  <c r="L18" i="46"/>
  <c r="K18" i="46"/>
  <c r="J18" i="46"/>
  <c r="I18" i="46"/>
  <c r="H18" i="46"/>
  <c r="G18" i="46"/>
  <c r="L17" i="46"/>
  <c r="L23" i="46" s="1"/>
  <c r="K17" i="46"/>
  <c r="K23" i="46" s="1"/>
  <c r="J17" i="46"/>
  <c r="I17" i="46"/>
  <c r="H17" i="46"/>
  <c r="H23" i="46" s="1"/>
  <c r="G17" i="46"/>
  <c r="G23" i="46" s="1"/>
  <c r="L12" i="46"/>
  <c r="K12" i="46"/>
  <c r="J12" i="46"/>
  <c r="I12" i="46"/>
  <c r="H12" i="46"/>
  <c r="G12" i="46"/>
  <c r="L9" i="46"/>
  <c r="K9" i="46"/>
  <c r="J9" i="46"/>
  <c r="I9" i="46"/>
  <c r="H9" i="46"/>
  <c r="G9" i="46"/>
  <c r="L13" i="46"/>
  <c r="K13" i="46"/>
  <c r="J13" i="46"/>
  <c r="I13" i="46"/>
  <c r="H13" i="46"/>
  <c r="G13" i="46"/>
  <c r="L8" i="46"/>
  <c r="K8" i="46"/>
  <c r="J8" i="46"/>
  <c r="I8" i="46"/>
  <c r="H8" i="46"/>
  <c r="G8" i="46"/>
  <c r="L7" i="46"/>
  <c r="K7" i="46"/>
  <c r="J7" i="46"/>
  <c r="J14" i="46" s="1"/>
  <c r="I7" i="46"/>
  <c r="H7" i="46"/>
  <c r="G7" i="46"/>
  <c r="L73" i="43"/>
  <c r="K73" i="43"/>
  <c r="J73" i="43"/>
  <c r="I73" i="43"/>
  <c r="H73" i="43"/>
  <c r="N73" i="43" s="1"/>
  <c r="G73" i="43"/>
  <c r="L72" i="43"/>
  <c r="K72" i="43"/>
  <c r="J72" i="43"/>
  <c r="I72" i="43"/>
  <c r="H72" i="43"/>
  <c r="G72" i="43"/>
  <c r="L60" i="43"/>
  <c r="K60" i="43"/>
  <c r="J60" i="43"/>
  <c r="I60" i="43"/>
  <c r="H60" i="43"/>
  <c r="N60" i="43" s="1"/>
  <c r="G60" i="43"/>
  <c r="L70" i="43"/>
  <c r="K70" i="43"/>
  <c r="J70" i="43"/>
  <c r="I70" i="43"/>
  <c r="H70" i="43"/>
  <c r="G70" i="43"/>
  <c r="L69" i="43"/>
  <c r="K69" i="43"/>
  <c r="J69" i="43"/>
  <c r="I69" i="43"/>
  <c r="H69" i="43"/>
  <c r="G69" i="43"/>
  <c r="F64" i="43"/>
  <c r="L39" i="43"/>
  <c r="K39" i="43"/>
  <c r="J39" i="43"/>
  <c r="I39" i="43"/>
  <c r="H39" i="43"/>
  <c r="G39" i="43"/>
  <c r="L62" i="43"/>
  <c r="K62" i="43"/>
  <c r="J62" i="43"/>
  <c r="I62" i="43"/>
  <c r="H62" i="43"/>
  <c r="G62" i="43"/>
  <c r="L58" i="43"/>
  <c r="K58" i="43"/>
  <c r="J58" i="43"/>
  <c r="I58" i="43"/>
  <c r="H58" i="43"/>
  <c r="G58" i="43"/>
  <c r="L37" i="43"/>
  <c r="K37" i="43"/>
  <c r="J37" i="43"/>
  <c r="I37" i="43"/>
  <c r="H37" i="43"/>
  <c r="G37" i="43"/>
  <c r="L74" i="43"/>
  <c r="F74" i="43"/>
  <c r="J74" i="43"/>
  <c r="J23" i="46" l="1"/>
  <c r="K14" i="46"/>
  <c r="K24" i="46" s="1"/>
  <c r="I23" i="46"/>
  <c r="N22" i="46"/>
  <c r="G14" i="46"/>
  <c r="G24" i="46" s="1"/>
  <c r="H14" i="46"/>
  <c r="H24" i="46" s="1"/>
  <c r="L14" i="46"/>
  <c r="L24" i="46" s="1"/>
  <c r="M7" i="46"/>
  <c r="M12" i="46"/>
  <c r="M17" i="46"/>
  <c r="M19" i="46"/>
  <c r="M21" i="46"/>
  <c r="M13" i="46"/>
  <c r="J24" i="46"/>
  <c r="I24" i="46"/>
  <c r="L13" i="44"/>
  <c r="I13" i="44"/>
  <c r="J13" i="44"/>
  <c r="K22" i="44"/>
  <c r="G13" i="44"/>
  <c r="K13" i="44"/>
  <c r="I74" i="43"/>
  <c r="M60" i="43"/>
  <c r="M12" i="44"/>
  <c r="N15" i="44"/>
  <c r="L22" i="44"/>
  <c r="N17" i="44"/>
  <c r="N19" i="44"/>
  <c r="J22" i="44"/>
  <c r="N21" i="44"/>
  <c r="N12" i="44"/>
  <c r="I22" i="44"/>
  <c r="I23" i="44" s="1"/>
  <c r="M70" i="43"/>
  <c r="N70" i="43"/>
  <c r="M73" i="43"/>
  <c r="M39" i="43"/>
  <c r="N62" i="43"/>
  <c r="N58" i="43"/>
  <c r="N39" i="43"/>
  <c r="M69" i="43"/>
  <c r="M72" i="43"/>
  <c r="M58" i="43"/>
  <c r="M62" i="43"/>
  <c r="N69" i="43"/>
  <c r="N72" i="43"/>
  <c r="L23" i="44"/>
  <c r="M15" i="44"/>
  <c r="M17" i="44"/>
  <c r="M19" i="44"/>
  <c r="M21" i="44"/>
  <c r="H22" i="44"/>
  <c r="H23" i="44" s="1"/>
  <c r="G22" i="44"/>
  <c r="G23" i="44" s="1"/>
  <c r="N13" i="46"/>
  <c r="N12" i="46"/>
  <c r="N17" i="46"/>
  <c r="N19" i="46"/>
  <c r="N21" i="46"/>
  <c r="M22" i="46"/>
  <c r="N8" i="46"/>
  <c r="N9" i="46"/>
  <c r="N18" i="46"/>
  <c r="N20" i="46"/>
  <c r="M8" i="46"/>
  <c r="M9" i="46"/>
  <c r="M18" i="46"/>
  <c r="M20" i="46"/>
  <c r="M8" i="44"/>
  <c r="M11" i="44"/>
  <c r="M16" i="44"/>
  <c r="M18" i="44"/>
  <c r="M20" i="44"/>
  <c r="N8" i="44"/>
  <c r="N11" i="44"/>
  <c r="N16" i="44"/>
  <c r="N18" i="44"/>
  <c r="N20" i="44"/>
  <c r="M7" i="44"/>
  <c r="N7" i="44"/>
  <c r="N7" i="46"/>
  <c r="M37" i="43"/>
  <c r="N37" i="43"/>
  <c r="H74" i="43"/>
  <c r="M23" i="46" l="1"/>
  <c r="N23" i="46"/>
  <c r="M14" i="46"/>
  <c r="M24" i="46" s="1"/>
  <c r="N14" i="46"/>
  <c r="N24" i="46" s="1"/>
  <c r="K23" i="44"/>
  <c r="M13" i="44"/>
  <c r="N22" i="44"/>
  <c r="N74" i="43"/>
  <c r="N13" i="44"/>
  <c r="J23" i="44"/>
  <c r="M22" i="44"/>
  <c r="L49" i="43"/>
  <c r="K49" i="43"/>
  <c r="J49" i="43"/>
  <c r="I49" i="43"/>
  <c r="H49" i="43"/>
  <c r="G49" i="43"/>
  <c r="N23" i="44" l="1"/>
  <c r="M49" i="43"/>
  <c r="N49" i="43"/>
  <c r="M23" i="44"/>
  <c r="L45" i="44" l="1"/>
  <c r="K45" i="44"/>
  <c r="J45" i="44"/>
  <c r="I45" i="44"/>
  <c r="H45" i="44"/>
  <c r="N45" i="44" s="1"/>
  <c r="G45" i="44"/>
  <c r="G44" i="44"/>
  <c r="H44" i="44"/>
  <c r="I44" i="44"/>
  <c r="J44" i="44"/>
  <c r="K44" i="44"/>
  <c r="L44" i="44"/>
  <c r="G48" i="44"/>
  <c r="H48" i="44"/>
  <c r="I48" i="44"/>
  <c r="J48" i="44"/>
  <c r="K48" i="44"/>
  <c r="L48" i="44"/>
  <c r="E50" i="44"/>
  <c r="F50" i="44"/>
  <c r="G53" i="44"/>
  <c r="H53" i="44"/>
  <c r="I53" i="44"/>
  <c r="J53" i="44"/>
  <c r="K53" i="44"/>
  <c r="L53" i="44"/>
  <c r="G54" i="44"/>
  <c r="H54" i="44"/>
  <c r="I54" i="44"/>
  <c r="J54" i="44"/>
  <c r="K54" i="44"/>
  <c r="L54" i="44"/>
  <c r="G55" i="44"/>
  <c r="H55" i="44"/>
  <c r="I55" i="44"/>
  <c r="J55" i="44"/>
  <c r="K55" i="44"/>
  <c r="L55" i="44"/>
  <c r="G56" i="44"/>
  <c r="H56" i="44"/>
  <c r="I56" i="44"/>
  <c r="J56" i="44"/>
  <c r="K56" i="44"/>
  <c r="L56" i="44"/>
  <c r="G57" i="44"/>
  <c r="H57" i="44"/>
  <c r="I57" i="44"/>
  <c r="J57" i="44"/>
  <c r="K57" i="44"/>
  <c r="L57" i="44"/>
  <c r="G58" i="44"/>
  <c r="H58" i="44"/>
  <c r="I58" i="44"/>
  <c r="J58" i="44"/>
  <c r="K58" i="44"/>
  <c r="L58" i="44"/>
  <c r="L28" i="44"/>
  <c r="K28" i="44"/>
  <c r="J28" i="44"/>
  <c r="I28" i="44"/>
  <c r="H28" i="44"/>
  <c r="G28" i="44"/>
  <c r="L26" i="46"/>
  <c r="K26" i="46"/>
  <c r="J26" i="46"/>
  <c r="I26" i="46"/>
  <c r="H26" i="46"/>
  <c r="G26" i="46"/>
  <c r="L39" i="46"/>
  <c r="K39" i="46"/>
  <c r="J39" i="46"/>
  <c r="I39" i="46"/>
  <c r="H39" i="46"/>
  <c r="N39" i="46" s="1"/>
  <c r="G39" i="46"/>
  <c r="M39" i="46" s="1"/>
  <c r="L51" i="46"/>
  <c r="K51" i="46"/>
  <c r="J51" i="46"/>
  <c r="I51" i="46"/>
  <c r="H51" i="46"/>
  <c r="G51" i="46"/>
  <c r="L57" i="46"/>
  <c r="K57" i="46"/>
  <c r="J57" i="46"/>
  <c r="I57" i="46"/>
  <c r="H57" i="46"/>
  <c r="G57" i="46"/>
  <c r="L37" i="46"/>
  <c r="K37" i="46"/>
  <c r="J37" i="46"/>
  <c r="I37" i="46"/>
  <c r="H37" i="46"/>
  <c r="G37" i="46"/>
  <c r="L35" i="46"/>
  <c r="K35" i="46"/>
  <c r="J35" i="46"/>
  <c r="I35" i="46"/>
  <c r="H35" i="46"/>
  <c r="G35" i="46"/>
  <c r="L59" i="44" l="1"/>
  <c r="H59" i="44"/>
  <c r="K59" i="44"/>
  <c r="N58" i="44"/>
  <c r="J59" i="44"/>
  <c r="M35" i="46"/>
  <c r="M37" i="46"/>
  <c r="N35" i="46"/>
  <c r="N26" i="46"/>
  <c r="M28" i="44"/>
  <c r="H50" i="44"/>
  <c r="N44" i="44"/>
  <c r="M45" i="44"/>
  <c r="M44" i="44"/>
  <c r="M58" i="44"/>
  <c r="M57" i="44"/>
  <c r="K50" i="44"/>
  <c r="K60" i="44" s="1"/>
  <c r="M56" i="44"/>
  <c r="M54" i="44"/>
  <c r="N48" i="44"/>
  <c r="N57" i="44"/>
  <c r="N55" i="44"/>
  <c r="N53" i="44"/>
  <c r="J50" i="44"/>
  <c r="J60" i="44" s="1"/>
  <c r="N28" i="44"/>
  <c r="M55" i="44"/>
  <c r="M53" i="44"/>
  <c r="N56" i="44"/>
  <c r="N54" i="44"/>
  <c r="M48" i="44"/>
  <c r="L50" i="44"/>
  <c r="I50" i="44"/>
  <c r="M26" i="46"/>
  <c r="M51" i="46"/>
  <c r="N57" i="46"/>
  <c r="N51" i="46"/>
  <c r="M57" i="46"/>
  <c r="N37" i="46"/>
  <c r="E33" i="45"/>
  <c r="F33" i="45"/>
  <c r="G60" i="44" l="1"/>
  <c r="L60" i="44"/>
  <c r="N59" i="44"/>
  <c r="H60" i="44"/>
  <c r="M60" i="44"/>
  <c r="N50" i="44"/>
  <c r="I60" i="44"/>
  <c r="N60" i="44" l="1"/>
  <c r="G40" i="43"/>
  <c r="H40" i="43"/>
  <c r="I40" i="43"/>
  <c r="M40" i="43" s="1"/>
  <c r="J40" i="43"/>
  <c r="K40" i="43"/>
  <c r="L40" i="43"/>
  <c r="L51" i="43"/>
  <c r="K51" i="43"/>
  <c r="J51" i="43"/>
  <c r="I51" i="43"/>
  <c r="H51" i="43"/>
  <c r="G51" i="43"/>
  <c r="L24" i="43"/>
  <c r="K24" i="43"/>
  <c r="J24" i="43"/>
  <c r="I24" i="43"/>
  <c r="H24" i="43"/>
  <c r="G24" i="43"/>
  <c r="L21" i="43"/>
  <c r="K21" i="43"/>
  <c r="J21" i="43"/>
  <c r="I21" i="43"/>
  <c r="H21" i="43"/>
  <c r="G21" i="43"/>
  <c r="G18" i="43"/>
  <c r="H18" i="43"/>
  <c r="I18" i="43"/>
  <c r="J18" i="43"/>
  <c r="K18" i="43"/>
  <c r="L18" i="43"/>
  <c r="G19" i="43"/>
  <c r="H19" i="43"/>
  <c r="I19" i="43"/>
  <c r="J19" i="43"/>
  <c r="K19" i="43"/>
  <c r="L19" i="43"/>
  <c r="G22" i="43"/>
  <c r="H22" i="43"/>
  <c r="I22" i="43"/>
  <c r="J22" i="43"/>
  <c r="K22" i="43"/>
  <c r="L22" i="43"/>
  <c r="G20" i="43"/>
  <c r="H20" i="43"/>
  <c r="I20" i="43"/>
  <c r="J20" i="43"/>
  <c r="K20" i="43"/>
  <c r="L20" i="43"/>
  <c r="E25" i="43"/>
  <c r="F25" i="43"/>
  <c r="G29" i="43"/>
  <c r="H29" i="43"/>
  <c r="I29" i="43"/>
  <c r="J29" i="43"/>
  <c r="K29" i="43"/>
  <c r="L29" i="43"/>
  <c r="G30" i="43"/>
  <c r="H30" i="43"/>
  <c r="I30" i="43"/>
  <c r="J30" i="43"/>
  <c r="K30" i="43"/>
  <c r="L30" i="43"/>
  <c r="G31" i="43"/>
  <c r="H31" i="43"/>
  <c r="I31" i="43"/>
  <c r="J31" i="43"/>
  <c r="K31" i="43"/>
  <c r="L31" i="43"/>
  <c r="G32" i="43"/>
  <c r="H32" i="43"/>
  <c r="I32" i="43"/>
  <c r="J32" i="43"/>
  <c r="K32" i="43"/>
  <c r="L32" i="43"/>
  <c r="G33" i="43"/>
  <c r="H33" i="43"/>
  <c r="I33" i="43"/>
  <c r="J33" i="43"/>
  <c r="K33" i="43"/>
  <c r="L33" i="43"/>
  <c r="E34" i="43"/>
  <c r="F34" i="43"/>
  <c r="G34" i="43" l="1"/>
  <c r="K25" i="43"/>
  <c r="I34" i="43"/>
  <c r="L34" i="43"/>
  <c r="H34" i="43"/>
  <c r="G25" i="43"/>
  <c r="J25" i="43"/>
  <c r="M18" i="43"/>
  <c r="I25" i="43"/>
  <c r="N24" i="43"/>
  <c r="J34" i="43"/>
  <c r="N40" i="43"/>
  <c r="M19" i="43"/>
  <c r="H25" i="43"/>
  <c r="N20" i="43"/>
  <c r="M20" i="43"/>
  <c r="K34" i="43"/>
  <c r="K35" i="43" s="1"/>
  <c r="N18" i="43"/>
  <c r="N19" i="43"/>
  <c r="M32" i="43"/>
  <c r="M30" i="43"/>
  <c r="M51" i="43"/>
  <c r="M33" i="43"/>
  <c r="M31" i="43"/>
  <c r="M29" i="43"/>
  <c r="M21" i="43"/>
  <c r="M24" i="43"/>
  <c r="N32" i="43"/>
  <c r="N30" i="43"/>
  <c r="L25" i="43"/>
  <c r="L35" i="43" s="1"/>
  <c r="N33" i="43"/>
  <c r="N31" i="43"/>
  <c r="N29" i="43"/>
  <c r="M22" i="43"/>
  <c r="N51" i="43"/>
  <c r="N22" i="43"/>
  <c r="J35" i="43"/>
  <c r="I35" i="43"/>
  <c r="N21" i="43"/>
  <c r="G35" i="43" l="1"/>
  <c r="H35" i="43"/>
  <c r="M25" i="43"/>
  <c r="M34" i="43"/>
  <c r="M35" i="43" s="1"/>
  <c r="N25" i="43"/>
  <c r="N34" i="43"/>
  <c r="N35" i="43" l="1"/>
  <c r="G39" i="44"/>
  <c r="H11" i="45" l="1"/>
  <c r="G27" i="46" l="1"/>
  <c r="H27" i="46"/>
  <c r="I27" i="46"/>
  <c r="J27" i="46"/>
  <c r="K27" i="46"/>
  <c r="L27" i="46"/>
  <c r="G32" i="46"/>
  <c r="H32" i="46"/>
  <c r="I32" i="46"/>
  <c r="J32" i="46"/>
  <c r="K32" i="46"/>
  <c r="L32" i="46"/>
  <c r="G31" i="46"/>
  <c r="H31" i="46"/>
  <c r="I31" i="46"/>
  <c r="J31" i="46"/>
  <c r="K31" i="46"/>
  <c r="L31" i="46"/>
  <c r="G29" i="46"/>
  <c r="H29" i="46"/>
  <c r="I29" i="46"/>
  <c r="J29" i="46"/>
  <c r="K29" i="46"/>
  <c r="L29" i="46"/>
  <c r="G36" i="46"/>
  <c r="H36" i="46"/>
  <c r="I36" i="46"/>
  <c r="J36" i="46"/>
  <c r="K36" i="46"/>
  <c r="L36" i="46"/>
  <c r="G38" i="46"/>
  <c r="H38" i="46"/>
  <c r="I38" i="46"/>
  <c r="J38" i="46"/>
  <c r="K38" i="46"/>
  <c r="L38" i="46"/>
  <c r="G40" i="46"/>
  <c r="H40" i="46"/>
  <c r="I40" i="46"/>
  <c r="J40" i="46"/>
  <c r="K40" i="46"/>
  <c r="L40" i="46"/>
  <c r="G41" i="46"/>
  <c r="H41" i="46"/>
  <c r="I41" i="46"/>
  <c r="J41" i="46"/>
  <c r="K41" i="46"/>
  <c r="L41" i="46"/>
  <c r="G42" i="46"/>
  <c r="H42" i="46"/>
  <c r="I42" i="46"/>
  <c r="J42" i="46"/>
  <c r="K42" i="46"/>
  <c r="L42" i="46"/>
  <c r="F43" i="46"/>
  <c r="G27" i="44"/>
  <c r="H27" i="44"/>
  <c r="I27" i="44"/>
  <c r="J27" i="44"/>
  <c r="K27" i="44"/>
  <c r="L27" i="44"/>
  <c r="G31" i="44"/>
  <c r="H31" i="44"/>
  <c r="I31" i="44"/>
  <c r="J31" i="44"/>
  <c r="K31" i="44"/>
  <c r="L31" i="44"/>
  <c r="G30" i="44"/>
  <c r="H30" i="44"/>
  <c r="I30" i="44"/>
  <c r="J30" i="44"/>
  <c r="K30" i="44"/>
  <c r="L30" i="44"/>
  <c r="G36" i="44"/>
  <c r="H36" i="44"/>
  <c r="I36" i="44"/>
  <c r="J36" i="44"/>
  <c r="K36" i="44"/>
  <c r="L36" i="44"/>
  <c r="G37" i="44"/>
  <c r="H37" i="44"/>
  <c r="I37" i="44"/>
  <c r="J37" i="44"/>
  <c r="K37" i="44"/>
  <c r="L37" i="44"/>
  <c r="G38" i="44"/>
  <c r="H38" i="44"/>
  <c r="I38" i="44"/>
  <c r="J38" i="44"/>
  <c r="K38" i="44"/>
  <c r="L38" i="44"/>
  <c r="H39" i="44"/>
  <c r="I39" i="44"/>
  <c r="J39" i="44"/>
  <c r="K39" i="44"/>
  <c r="L39" i="44"/>
  <c r="G40" i="44"/>
  <c r="H40" i="44"/>
  <c r="I40" i="44"/>
  <c r="J40" i="44"/>
  <c r="K40" i="44"/>
  <c r="L40" i="44"/>
  <c r="E41" i="44"/>
  <c r="E59" i="44" s="1"/>
  <c r="F41" i="44"/>
  <c r="F59" i="44" s="1"/>
  <c r="J33" i="46" l="1"/>
  <c r="I33" i="46"/>
  <c r="L33" i="46"/>
  <c r="H33" i="46"/>
  <c r="N33" i="46" s="1"/>
  <c r="J41" i="44"/>
  <c r="G41" i="44"/>
  <c r="H41" i="44"/>
  <c r="H43" i="46"/>
  <c r="I43" i="46"/>
  <c r="J43" i="46"/>
  <c r="K43" i="46"/>
  <c r="K44" i="46" s="1"/>
  <c r="M31" i="46"/>
  <c r="N38" i="44"/>
  <c r="N37" i="44"/>
  <c r="N36" i="44"/>
  <c r="M36" i="44"/>
  <c r="M39" i="44"/>
  <c r="M37" i="44"/>
  <c r="M38" i="44"/>
  <c r="N31" i="44"/>
  <c r="M31" i="44"/>
  <c r="M27" i="44"/>
  <c r="M32" i="46"/>
  <c r="N29" i="46"/>
  <c r="N31" i="46"/>
  <c r="M29" i="46"/>
  <c r="M42" i="46"/>
  <c r="M40" i="46"/>
  <c r="M27" i="46"/>
  <c r="N32" i="46"/>
  <c r="N38" i="46"/>
  <c r="N36" i="46"/>
  <c r="M38" i="46"/>
  <c r="M36" i="46"/>
  <c r="N40" i="46"/>
  <c r="N27" i="46"/>
  <c r="N27" i="44"/>
  <c r="N30" i="44"/>
  <c r="M30" i="44"/>
  <c r="N39" i="44"/>
  <c r="N41" i="46"/>
  <c r="M41" i="46"/>
  <c r="N40" i="44"/>
  <c r="M40" i="44"/>
  <c r="N42" i="46"/>
  <c r="L43" i="46"/>
  <c r="J44" i="46" l="1"/>
  <c r="M41" i="44"/>
  <c r="G42" i="44"/>
  <c r="G44" i="46"/>
  <c r="H44" i="46"/>
  <c r="M42" i="44"/>
  <c r="N43" i="46"/>
  <c r="L44" i="46"/>
  <c r="I44" i="46"/>
  <c r="M44" i="46" l="1"/>
  <c r="N44" i="46"/>
  <c r="L59" i="46"/>
  <c r="K59" i="46"/>
  <c r="J59" i="46"/>
  <c r="I59" i="46"/>
  <c r="H59" i="46"/>
  <c r="G59" i="46"/>
  <c r="L58" i="46"/>
  <c r="K58" i="46"/>
  <c r="J58" i="46"/>
  <c r="I58" i="46"/>
  <c r="H58" i="46"/>
  <c r="G58" i="46"/>
  <c r="L56" i="46"/>
  <c r="K56" i="46"/>
  <c r="J56" i="46"/>
  <c r="I56" i="46"/>
  <c r="H56" i="46"/>
  <c r="G56" i="46"/>
  <c r="L55" i="46"/>
  <c r="K55" i="46"/>
  <c r="J55" i="46"/>
  <c r="I55" i="46"/>
  <c r="H55" i="46"/>
  <c r="G55" i="46"/>
  <c r="M56" i="46" l="1"/>
  <c r="N58" i="46"/>
  <c r="N56" i="46"/>
  <c r="M58" i="46"/>
  <c r="M59" i="46"/>
  <c r="M55" i="46"/>
  <c r="N55" i="46"/>
  <c r="N59" i="46"/>
  <c r="L48" i="46"/>
  <c r="K48" i="46"/>
  <c r="J48" i="46"/>
  <c r="I48" i="46"/>
  <c r="H48" i="46"/>
  <c r="G48" i="46"/>
  <c r="L47" i="46"/>
  <c r="K47" i="46"/>
  <c r="J47" i="46"/>
  <c r="I47" i="46"/>
  <c r="H47" i="46"/>
  <c r="G47" i="46"/>
  <c r="L52" i="46"/>
  <c r="K52" i="46"/>
  <c r="J52" i="46"/>
  <c r="I52" i="46"/>
  <c r="H52" i="46"/>
  <c r="G52" i="46"/>
  <c r="M52" i="46" l="1"/>
  <c r="M48" i="46"/>
  <c r="N48" i="46"/>
  <c r="N52" i="46"/>
  <c r="M47" i="46"/>
  <c r="N47" i="46"/>
  <c r="L39" i="45"/>
  <c r="K39" i="45"/>
  <c r="J39" i="45"/>
  <c r="I39" i="45"/>
  <c r="H39" i="45"/>
  <c r="G39" i="45"/>
  <c r="L38" i="45"/>
  <c r="K38" i="45"/>
  <c r="J38" i="45"/>
  <c r="I38" i="45"/>
  <c r="H38" i="45"/>
  <c r="G38" i="45"/>
  <c r="L37" i="45"/>
  <c r="K37" i="45"/>
  <c r="J37" i="45"/>
  <c r="I37" i="45"/>
  <c r="H37" i="45"/>
  <c r="G37" i="45"/>
  <c r="L28" i="45"/>
  <c r="K28" i="45"/>
  <c r="J28" i="45"/>
  <c r="I28" i="45"/>
  <c r="H28" i="45"/>
  <c r="G28" i="45"/>
  <c r="L21" i="45"/>
  <c r="K21" i="45"/>
  <c r="J21" i="45"/>
  <c r="I21" i="45"/>
  <c r="H21" i="45"/>
  <c r="G21" i="45"/>
  <c r="L20" i="45"/>
  <c r="K20" i="45"/>
  <c r="J20" i="45"/>
  <c r="I20" i="45"/>
  <c r="H20" i="45"/>
  <c r="G20" i="45"/>
  <c r="L19" i="45"/>
  <c r="K19" i="45"/>
  <c r="J19" i="45"/>
  <c r="I19" i="45"/>
  <c r="H19" i="45"/>
  <c r="G19" i="45"/>
  <c r="L18" i="45"/>
  <c r="K18" i="45"/>
  <c r="J18" i="45"/>
  <c r="I18" i="45"/>
  <c r="H18" i="45"/>
  <c r="G18" i="45"/>
  <c r="L17" i="45"/>
  <c r="K17" i="45"/>
  <c r="J17" i="45"/>
  <c r="I17" i="45"/>
  <c r="H17" i="45"/>
  <c r="G17" i="45"/>
  <c r="L11" i="45"/>
  <c r="K11" i="45"/>
  <c r="J11" i="45"/>
  <c r="I11" i="45"/>
  <c r="G11" i="45"/>
  <c r="L9" i="45"/>
  <c r="K9" i="45"/>
  <c r="J9" i="45"/>
  <c r="I9" i="45"/>
  <c r="H9" i="45"/>
  <c r="G9" i="45"/>
  <c r="L41" i="44"/>
  <c r="L42" i="44" s="1"/>
  <c r="K41" i="44"/>
  <c r="K42" i="44" s="1"/>
  <c r="J42" i="44"/>
  <c r="N11" i="45" l="1"/>
  <c r="N18" i="45"/>
  <c r="N20" i="45"/>
  <c r="M17" i="45"/>
  <c r="M19" i="45"/>
  <c r="N28" i="45"/>
  <c r="M21" i="45"/>
  <c r="N38" i="45"/>
  <c r="M37" i="45"/>
  <c r="M39" i="45"/>
  <c r="N17" i="45"/>
  <c r="N19" i="45"/>
  <c r="N21" i="45"/>
  <c r="N37" i="45"/>
  <c r="N39" i="45"/>
  <c r="M9" i="45"/>
  <c r="M11" i="45"/>
  <c r="M18" i="45"/>
  <c r="M20" i="45"/>
  <c r="M28" i="45"/>
  <c r="M38" i="45"/>
  <c r="N9" i="45"/>
  <c r="N41" i="44"/>
  <c r="N42" i="44" s="1"/>
  <c r="H42" i="44"/>
  <c r="E54" i="43"/>
  <c r="L50" i="43"/>
  <c r="K50" i="43"/>
  <c r="J50" i="43"/>
  <c r="I50" i="43"/>
  <c r="H50" i="43"/>
  <c r="G50" i="43"/>
  <c r="L48" i="43"/>
  <c r="K48" i="43"/>
  <c r="J48" i="43"/>
  <c r="I48" i="43"/>
  <c r="H48" i="43"/>
  <c r="G48" i="43"/>
  <c r="L47" i="43"/>
  <c r="K47" i="43"/>
  <c r="J47" i="43"/>
  <c r="I47" i="43"/>
  <c r="H47" i="43"/>
  <c r="G47" i="43"/>
  <c r="L59" i="43"/>
  <c r="K59" i="43"/>
  <c r="J59" i="43"/>
  <c r="I59" i="43"/>
  <c r="H59" i="43"/>
  <c r="G59" i="43"/>
  <c r="L42" i="43"/>
  <c r="K42" i="43"/>
  <c r="J42" i="43"/>
  <c r="I42" i="43"/>
  <c r="H42" i="43"/>
  <c r="G42" i="43"/>
  <c r="L38" i="43"/>
  <c r="K38" i="43"/>
  <c r="K44" i="43" s="1"/>
  <c r="J38" i="43"/>
  <c r="I38" i="43"/>
  <c r="H38" i="43"/>
  <c r="G38" i="43"/>
  <c r="L57" i="43"/>
  <c r="L64" i="43" s="1"/>
  <c r="K57" i="43"/>
  <c r="J57" i="43"/>
  <c r="I57" i="43"/>
  <c r="H57" i="43"/>
  <c r="G57" i="43"/>
  <c r="K64" i="43" l="1"/>
  <c r="K75" i="43" s="1"/>
  <c r="H44" i="43"/>
  <c r="G64" i="43"/>
  <c r="M64" i="43" s="1"/>
  <c r="L44" i="43"/>
  <c r="I44" i="43"/>
  <c r="M42" i="43"/>
  <c r="J64" i="43"/>
  <c r="J75" i="43" s="1"/>
  <c r="H64" i="43"/>
  <c r="I64" i="43"/>
  <c r="G44" i="43"/>
  <c r="L75" i="43"/>
  <c r="J44" i="43"/>
  <c r="M57" i="43"/>
  <c r="M59" i="43"/>
  <c r="M47" i="43"/>
  <c r="N38" i="43"/>
  <c r="N48" i="43"/>
  <c r="M50" i="43"/>
  <c r="N57" i="43"/>
  <c r="N42" i="43"/>
  <c r="N59" i="43"/>
  <c r="N47" i="43"/>
  <c r="N50" i="43"/>
  <c r="M38" i="43"/>
  <c r="M48" i="43"/>
  <c r="L46" i="46"/>
  <c r="K46" i="46"/>
  <c r="J46" i="46"/>
  <c r="I46" i="46"/>
  <c r="H46" i="46"/>
  <c r="N46" i="46" s="1"/>
  <c r="G46" i="46"/>
  <c r="G75" i="43" l="1"/>
  <c r="N64" i="43"/>
  <c r="N75" i="43" s="1"/>
  <c r="I75" i="43"/>
  <c r="H75" i="43"/>
  <c r="M75" i="43"/>
  <c r="M44" i="43"/>
  <c r="M46" i="46"/>
  <c r="F42" i="45"/>
  <c r="E42" i="45"/>
  <c r="L61" i="46" l="1"/>
  <c r="K61" i="46"/>
  <c r="J61" i="46"/>
  <c r="I61" i="46"/>
  <c r="H61" i="46"/>
  <c r="G61" i="46"/>
  <c r="L60" i="46"/>
  <c r="K60" i="46"/>
  <c r="J60" i="46"/>
  <c r="I60" i="46"/>
  <c r="H60" i="46"/>
  <c r="H62" i="46" s="1"/>
  <c r="G60" i="46"/>
  <c r="L41" i="45"/>
  <c r="K41" i="45"/>
  <c r="J41" i="45"/>
  <c r="I41" i="45"/>
  <c r="H41" i="45"/>
  <c r="G41" i="45"/>
  <c r="L40" i="45"/>
  <c r="K40" i="45"/>
  <c r="J40" i="45"/>
  <c r="I40" i="45"/>
  <c r="H40" i="45"/>
  <c r="G40" i="45"/>
  <c r="I62" i="46" l="1"/>
  <c r="K42" i="45"/>
  <c r="G42" i="45"/>
  <c r="M61" i="46"/>
  <c r="N60" i="46"/>
  <c r="M40" i="45"/>
  <c r="M60" i="46"/>
  <c r="N61" i="46"/>
  <c r="N40" i="45"/>
  <c r="H42" i="45"/>
  <c r="I42" i="45"/>
  <c r="N41" i="45"/>
  <c r="M41" i="45"/>
  <c r="L23" i="45"/>
  <c r="K23" i="45"/>
  <c r="J23" i="45"/>
  <c r="I23" i="45"/>
  <c r="H23" i="45"/>
  <c r="G23" i="45"/>
  <c r="L22" i="45"/>
  <c r="K22" i="45"/>
  <c r="J22" i="45"/>
  <c r="I22" i="45"/>
  <c r="H22" i="45"/>
  <c r="G22" i="45"/>
  <c r="L53" i="43"/>
  <c r="K53" i="43"/>
  <c r="J53" i="43"/>
  <c r="I53" i="43"/>
  <c r="H53" i="43"/>
  <c r="G53" i="43"/>
  <c r="L52" i="43"/>
  <c r="K52" i="43"/>
  <c r="J52" i="43"/>
  <c r="J54" i="43" s="1"/>
  <c r="I52" i="43"/>
  <c r="H52" i="43"/>
  <c r="G52" i="43"/>
  <c r="L50" i="46"/>
  <c r="K50" i="46"/>
  <c r="J50" i="46"/>
  <c r="I50" i="46"/>
  <c r="H50" i="46"/>
  <c r="G50" i="46"/>
  <c r="L13" i="45"/>
  <c r="L15" i="45" s="1"/>
  <c r="K13" i="45"/>
  <c r="K15" i="45" s="1"/>
  <c r="J13" i="45"/>
  <c r="J15" i="45" s="1"/>
  <c r="I13" i="45"/>
  <c r="I15" i="45" s="1"/>
  <c r="H13" i="45"/>
  <c r="H15" i="45" s="1"/>
  <c r="G13" i="45"/>
  <c r="G15" i="45" s="1"/>
  <c r="G24" i="45" l="1"/>
  <c r="M15" i="45"/>
  <c r="N15" i="45"/>
  <c r="K54" i="43"/>
  <c r="G54" i="43"/>
  <c r="H54" i="43"/>
  <c r="H55" i="43" s="1"/>
  <c r="M42" i="45"/>
  <c r="G25" i="45"/>
  <c r="K24" i="45"/>
  <c r="N53" i="43"/>
  <c r="M13" i="45"/>
  <c r="M22" i="45"/>
  <c r="M50" i="46"/>
  <c r="N22" i="45"/>
  <c r="H24" i="45"/>
  <c r="N13" i="45"/>
  <c r="M52" i="43"/>
  <c r="N52" i="43"/>
  <c r="M23" i="45"/>
  <c r="N50" i="46"/>
  <c r="M53" i="43"/>
  <c r="N23" i="45"/>
  <c r="L42" i="45"/>
  <c r="J42" i="45"/>
  <c r="L27" i="45"/>
  <c r="L33" i="45" s="1"/>
  <c r="K27" i="45"/>
  <c r="K33" i="45" s="1"/>
  <c r="J27" i="45"/>
  <c r="J33" i="45" s="1"/>
  <c r="I27" i="45"/>
  <c r="I33" i="45" s="1"/>
  <c r="H27" i="45"/>
  <c r="H33" i="45" s="1"/>
  <c r="G27" i="45"/>
  <c r="G33" i="45" s="1"/>
  <c r="G43" i="45" l="1"/>
  <c r="M24" i="45"/>
  <c r="M54" i="43"/>
  <c r="N27" i="45"/>
  <c r="N33" i="45" s="1"/>
  <c r="M27" i="45"/>
  <c r="M33" i="45" s="1"/>
  <c r="M43" i="45" s="1"/>
  <c r="N42" i="45"/>
  <c r="E62" i="46" l="1"/>
  <c r="K62" i="46"/>
  <c r="F62" i="46"/>
  <c r="J62" i="46"/>
  <c r="L62" i="46"/>
  <c r="H63" i="46"/>
  <c r="M63" i="46" l="1"/>
  <c r="L63" i="46"/>
  <c r="K63" i="46"/>
  <c r="I63" i="46"/>
  <c r="J63" i="46"/>
  <c r="G62" i="46"/>
  <c r="N62" i="46"/>
  <c r="N63" i="46" l="1"/>
  <c r="G63" i="46"/>
  <c r="F15" i="45" l="1"/>
  <c r="E15" i="45"/>
  <c r="M25" i="45"/>
  <c r="F24" i="45"/>
  <c r="E24" i="45"/>
  <c r="J24" i="45"/>
  <c r="J25" i="45" l="1"/>
  <c r="I24" i="45"/>
  <c r="L24" i="45"/>
  <c r="N24" i="45"/>
  <c r="K25" i="45" l="1"/>
  <c r="L25" i="45"/>
  <c r="I25" i="45"/>
  <c r="N25" i="45"/>
  <c r="H25" i="45"/>
  <c r="F54" i="43" l="1"/>
  <c r="L54" i="43"/>
  <c r="I54" i="43"/>
  <c r="F44" i="43"/>
  <c r="E44" i="43"/>
  <c r="J55" i="43"/>
  <c r="M55" i="43" l="1"/>
  <c r="L55" i="43"/>
  <c r="I55" i="43"/>
  <c r="K55" i="43"/>
  <c r="G55" i="43"/>
  <c r="N44" i="43"/>
  <c r="N54" i="43"/>
  <c r="N55" i="43" l="1"/>
  <c r="H43" i="45" l="1"/>
  <c r="K43" i="45"/>
  <c r="N43" i="45"/>
  <c r="I43" i="45"/>
  <c r="L43" i="45"/>
  <c r="J43" i="45"/>
</calcChain>
</file>

<file path=xl/sharedStrings.xml><?xml version="1.0" encoding="utf-8"?>
<sst xmlns="http://schemas.openxmlformats.org/spreadsheetml/2006/main" count="675" uniqueCount="279">
  <si>
    <t>№ рец.</t>
  </si>
  <si>
    <t>Наименование блюда</t>
  </si>
  <si>
    <t>Жиры,гр.</t>
  </si>
  <si>
    <t>Белки,гр.</t>
  </si>
  <si>
    <t>Углеводы,гр.</t>
  </si>
  <si>
    <t>Энергетическая ценность (ккал)</t>
  </si>
  <si>
    <t>Выход,гр.</t>
  </si>
  <si>
    <t>Пищевые вещества.</t>
  </si>
  <si>
    <t>ЗАВТРАК</t>
  </si>
  <si>
    <t>ОБЕД</t>
  </si>
  <si>
    <t>Макаронные изделия отварные</t>
  </si>
  <si>
    <t>Чай с лимоном</t>
  </si>
  <si>
    <t>ИТОГО ЗА ДЕНЬ:</t>
  </si>
  <si>
    <t>ИТОГО  ЗАВТРАК:</t>
  </si>
  <si>
    <t>ИТОГО  ОБЕД:</t>
  </si>
  <si>
    <t>7-11 лет</t>
  </si>
  <si>
    <t xml:space="preserve"> Чай с сахаром</t>
  </si>
  <si>
    <t>Каша рисовая молочная жидкая</t>
  </si>
  <si>
    <t>Неделя: первая, третья</t>
  </si>
  <si>
    <t>46/2008г</t>
  </si>
  <si>
    <t>92/2008г</t>
  </si>
  <si>
    <t>Картофельное пюре</t>
  </si>
  <si>
    <t>39/2008г</t>
  </si>
  <si>
    <t>Хлеб ржаной</t>
  </si>
  <si>
    <t xml:space="preserve"> </t>
  </si>
  <si>
    <t>чай с лимоном</t>
  </si>
  <si>
    <t>2004г</t>
  </si>
  <si>
    <t xml:space="preserve">Сборник рецептур блюд и кулинарных изделий для предприятий общественного питания      </t>
  </si>
  <si>
    <t>2008г</t>
  </si>
  <si>
    <t xml:space="preserve">Сборник  технических нормативов, рецептур блюд и кулинарных изделий для           </t>
  </si>
  <si>
    <t xml:space="preserve">предприятий общественного питания при образовательных учреждениях УР.  Ижевск 2008 г.   </t>
  </si>
  <si>
    <t>2013г</t>
  </si>
  <si>
    <t xml:space="preserve">организации питания детей в дошкольных организациях УР.  Ижевск 2013 г.   </t>
  </si>
  <si>
    <t>97/2008г</t>
  </si>
  <si>
    <t>2021г</t>
  </si>
  <si>
    <t>Единый сборник технологических нормативов, рецептур блюд и кулинарных изделий для детских садов,</t>
  </si>
  <si>
    <t>общеобразовательных школах. Уральский региональный центр питания. Пермь 2021 г. (Под общей редакцией А.Я. Превалова)</t>
  </si>
  <si>
    <t xml:space="preserve">при общеобразовательных школах . Москва 2004г (Под общей редакцией В.Т Лапшиной)   </t>
  </si>
  <si>
    <t>День недели</t>
  </si>
  <si>
    <t xml:space="preserve">УТВЕРЖДАЮ </t>
  </si>
  <si>
    <t>СОГЛАСОВАНО</t>
  </si>
  <si>
    <t>Генеральный директор ООО "Школьное питание"</t>
  </si>
  <si>
    <t>Колеватов Е.С____________</t>
  </si>
  <si>
    <t>12-18 лет</t>
  </si>
  <si>
    <t>459/2021г</t>
  </si>
  <si>
    <t>457/2021г</t>
  </si>
  <si>
    <t>495/2021г</t>
  </si>
  <si>
    <t>Компот из смеси сухофруктов</t>
  </si>
  <si>
    <t>Неделя: вторая, четвертая</t>
  </si>
  <si>
    <t>Список литературы</t>
  </si>
  <si>
    <t>обед</t>
  </si>
  <si>
    <t>завтрак</t>
  </si>
  <si>
    <t>2 нед.</t>
  </si>
  <si>
    <t>1 нед.</t>
  </si>
  <si>
    <t>кофейный напиток</t>
  </si>
  <si>
    <t>236/2021г</t>
  </si>
  <si>
    <t>462/2021г</t>
  </si>
  <si>
    <t>Какао с молоком</t>
  </si>
  <si>
    <t>230/2021г</t>
  </si>
  <si>
    <t>Каша манная молочная жидкая</t>
  </si>
  <si>
    <t>Каша пшённая молочная жидкая</t>
  </si>
  <si>
    <t>235/2021г</t>
  </si>
  <si>
    <t>141/2008г</t>
  </si>
  <si>
    <t>Соус томатный</t>
  </si>
  <si>
    <t>100/2021г</t>
  </si>
  <si>
    <t>Рассольник ленинградский</t>
  </si>
  <si>
    <t xml:space="preserve">Борщ с капустой и картофелем </t>
  </si>
  <si>
    <t>63/2008г</t>
  </si>
  <si>
    <t>Гуляш</t>
  </si>
  <si>
    <t>176/2013г</t>
  </si>
  <si>
    <t>Жаркое по-домашнему</t>
  </si>
  <si>
    <t>41/2008г</t>
  </si>
  <si>
    <t xml:space="preserve">Щи из свежей капусты с картофелем </t>
  </si>
  <si>
    <t>464/2021г</t>
  </si>
  <si>
    <t>Кофейный напиток</t>
  </si>
  <si>
    <t>501/2021г</t>
  </si>
  <si>
    <t>Соки овощные, фруктовые и ягодные</t>
  </si>
  <si>
    <t>160/2004г</t>
  </si>
  <si>
    <t>Суп молочный с макаронными изделиями</t>
  </si>
  <si>
    <t>574/2021г</t>
  </si>
  <si>
    <t>573/2021г</t>
  </si>
  <si>
    <t>Хлеб пшеничный формовой</t>
  </si>
  <si>
    <t xml:space="preserve">Каша "Дружба" </t>
  </si>
  <si>
    <t xml:space="preserve">Суп картофельный с мак. изделиями </t>
  </si>
  <si>
    <t>494/2021г</t>
  </si>
  <si>
    <t>Компот из плодов или ягод сушеных</t>
  </si>
  <si>
    <t>229/2021г</t>
  </si>
  <si>
    <t>ТК-1</t>
  </si>
  <si>
    <t>Помидоры свежие порционно</t>
  </si>
  <si>
    <t>451/2004г</t>
  </si>
  <si>
    <t>Шницель</t>
  </si>
  <si>
    <t>чай с сахаром</t>
  </si>
  <si>
    <t>60/2008г</t>
  </si>
  <si>
    <t>Уха со взбитым яйцом</t>
  </si>
  <si>
    <t>234/2021г</t>
  </si>
  <si>
    <t>Каша овсянная "Геркулес" жидкая</t>
  </si>
  <si>
    <t>БЛЮДО</t>
  </si>
  <si>
    <t>каша</t>
  </si>
  <si>
    <t>сыр порционно</t>
  </si>
  <si>
    <t>повидло</t>
  </si>
  <si>
    <t>напиток</t>
  </si>
  <si>
    <t>закуска</t>
  </si>
  <si>
    <t>суп</t>
  </si>
  <si>
    <t>гарнир</t>
  </si>
  <si>
    <t>рыба</t>
  </si>
  <si>
    <t>мясо</t>
  </si>
  <si>
    <t>котлеты Школьные</t>
  </si>
  <si>
    <t>птица</t>
  </si>
  <si>
    <t>Основное  двенадцатидневное меню для организации питания детей</t>
  </si>
  <si>
    <t xml:space="preserve">в летнем оздоровительном лагере дневного пребывания </t>
  </si>
  <si>
    <t>75/2021г</t>
  </si>
  <si>
    <t>Сыр полутвердый (порциями)</t>
  </si>
  <si>
    <t>82/2021г</t>
  </si>
  <si>
    <t>Фрукты свежие</t>
  </si>
  <si>
    <t>202/2021г</t>
  </si>
  <si>
    <t>Каша гречневая рассыпчатая</t>
  </si>
  <si>
    <t>96/2004г</t>
  </si>
  <si>
    <t>Масло  (порциями)</t>
  </si>
  <si>
    <t>48/2008г</t>
  </si>
  <si>
    <t>Суп крестьянский с крупой</t>
  </si>
  <si>
    <t>284/2021г</t>
  </si>
  <si>
    <t>Суфле из творога</t>
  </si>
  <si>
    <t>ПП</t>
  </si>
  <si>
    <t>Повидло яблочное</t>
  </si>
  <si>
    <t>25/2004</t>
  </si>
  <si>
    <t>Салат "Степной" из разных овощей</t>
  </si>
  <si>
    <t>196/2013г</t>
  </si>
  <si>
    <t>Капуста тушеная с мясом</t>
  </si>
  <si>
    <t>15/2013г</t>
  </si>
  <si>
    <t>Салат "Тазалык"</t>
  </si>
  <si>
    <t>496/2021г</t>
  </si>
  <si>
    <t>Напиток из плодов шиповника</t>
  </si>
  <si>
    <t>14/2008г</t>
  </si>
  <si>
    <t>Салат из свежих овощей</t>
  </si>
  <si>
    <t>347/2021г</t>
  </si>
  <si>
    <t>Котлеты "Школьные"</t>
  </si>
  <si>
    <t>227/2021г</t>
  </si>
  <si>
    <t>Каша ячневая молочная вязкая</t>
  </si>
  <si>
    <t>115/2021г</t>
  </si>
  <si>
    <t>Суп картофельный с клецками</t>
  </si>
  <si>
    <t>492/2004г</t>
  </si>
  <si>
    <t>Плов из птицы</t>
  </si>
  <si>
    <t>18/2021г</t>
  </si>
  <si>
    <t>Салат из свежих помидоров и огурцов</t>
  </si>
  <si>
    <t>389/2021г</t>
  </si>
  <si>
    <t>Пюре из гороха с маслом</t>
  </si>
  <si>
    <t>ТТК-2</t>
  </si>
  <si>
    <t>Салат "Свежесть"</t>
  </si>
  <si>
    <t>114/2021г</t>
  </si>
  <si>
    <t>Суп картофельный с крупой</t>
  </si>
  <si>
    <t>84/2008г</t>
  </si>
  <si>
    <t>Рыба тушеная с овощами</t>
  </si>
  <si>
    <t>Борщ с картофелем</t>
  </si>
  <si>
    <t>202/2013г</t>
  </si>
  <si>
    <t>Котлеты рубленые из птицы</t>
  </si>
  <si>
    <t>106/2008г</t>
  </si>
  <si>
    <t xml:space="preserve">Запеканка из творога </t>
  </si>
  <si>
    <t>241/2021г</t>
  </si>
  <si>
    <t>Рис с овощами</t>
  </si>
  <si>
    <t>74/2008г</t>
  </si>
  <si>
    <t>Колобки мясо-картофельные</t>
  </si>
  <si>
    <t>156/2008г</t>
  </si>
  <si>
    <t>Напиток лимонный</t>
  </si>
  <si>
    <t>216/2004г</t>
  </si>
  <si>
    <t xml:space="preserve">Картофель тушеный </t>
  </si>
  <si>
    <t>333/2021г</t>
  </si>
  <si>
    <t>Голубцы ленивые</t>
  </si>
  <si>
    <t>47/2008г</t>
  </si>
  <si>
    <t>Суп картофельный с бобовыми</t>
  </si>
  <si>
    <t>77/2008г</t>
  </si>
  <si>
    <t>Котлета "Здоровье"</t>
  </si>
  <si>
    <t>1 день</t>
  </si>
  <si>
    <t>2 день</t>
  </si>
  <si>
    <t>3 день</t>
  </si>
  <si>
    <t>4 день</t>
  </si>
  <si>
    <t>6 день</t>
  </si>
  <si>
    <t>7 день</t>
  </si>
  <si>
    <t>8 день</t>
  </si>
  <si>
    <t>9 день</t>
  </si>
  <si>
    <t>10 день</t>
  </si>
  <si>
    <t>11 день</t>
  </si>
  <si>
    <t>12 день</t>
  </si>
  <si>
    <t>5 день</t>
  </si>
  <si>
    <t>538/2021</t>
  </si>
  <si>
    <t>Шанежка наливная</t>
  </si>
  <si>
    <t>738/2004г</t>
  </si>
  <si>
    <t>Пирожки с рисом и яйцом</t>
  </si>
  <si>
    <t>543/2021г</t>
  </si>
  <si>
    <t>Булочка дорожная</t>
  </si>
  <si>
    <t>540/2021г</t>
  </si>
  <si>
    <t>Шанежка с картофелем</t>
  </si>
  <si>
    <t>182/2008г</t>
  </si>
  <si>
    <t>Коржик молочный</t>
  </si>
  <si>
    <t>выпечка</t>
  </si>
  <si>
    <t xml:space="preserve">Рассольник ленинградский </t>
  </si>
  <si>
    <t xml:space="preserve">Картофельное пюре </t>
  </si>
  <si>
    <t xml:space="preserve">Суп с макаронными изделиями </t>
  </si>
  <si>
    <t>Борщ с капустой и картофелем</t>
  </si>
  <si>
    <t>Суп с клецками</t>
  </si>
  <si>
    <t>Макароны отварные</t>
  </si>
  <si>
    <t>Плов</t>
  </si>
  <si>
    <t>Сок фруктовый</t>
  </si>
  <si>
    <t>Напиток из шиповника</t>
  </si>
  <si>
    <t>Пирожок с рисом и яйцом</t>
  </si>
  <si>
    <t>Суп молочный с мак. изд.</t>
  </si>
  <si>
    <t>Каша пшенная</t>
  </si>
  <si>
    <t>Повидло</t>
  </si>
  <si>
    <t>Чай с сахаром</t>
  </si>
  <si>
    <t>Суп с крупой</t>
  </si>
  <si>
    <t>Щи из св. капусты с картофелем</t>
  </si>
  <si>
    <t>Суп гороховый</t>
  </si>
  <si>
    <t>Салат из огурцов и помидор</t>
  </si>
  <si>
    <t>Гороховое пюре</t>
  </si>
  <si>
    <t xml:space="preserve">Рыба тушеная  с овощами </t>
  </si>
  <si>
    <t>Колобки 
мясо-картофельные</t>
  </si>
  <si>
    <t>Ленивые голубцы</t>
  </si>
  <si>
    <t>Котлета Здоровье</t>
  </si>
  <si>
    <t>Котлета из мяса птицы</t>
  </si>
  <si>
    <t>Компот из урюка</t>
  </si>
  <si>
    <r>
      <t xml:space="preserve">Салат Тазалык
</t>
    </r>
    <r>
      <rPr>
        <sz val="9"/>
        <color theme="1"/>
        <rFont val="Calibri"/>
        <family val="2"/>
        <charset val="204"/>
        <scheme val="minor"/>
      </rPr>
      <t>(капуста,помидоры)</t>
    </r>
  </si>
  <si>
    <r>
      <t xml:space="preserve">Салат Свежесть
</t>
    </r>
    <r>
      <rPr>
        <sz val="9"/>
        <color theme="1"/>
        <rFont val="Calibri"/>
        <family val="2"/>
        <charset val="204"/>
        <scheme val="minor"/>
      </rPr>
      <t>(капуста, морк, кук.консерв)</t>
    </r>
  </si>
  <si>
    <t>267/2021г</t>
  </si>
  <si>
    <t>Яйцо вареное</t>
  </si>
  <si>
    <t>Бананы</t>
  </si>
  <si>
    <t>510/2004г</t>
  </si>
  <si>
    <t>Каша пшенная вязкая</t>
  </si>
  <si>
    <t>ТТК-8</t>
  </si>
  <si>
    <t>Пряники творожные</t>
  </si>
  <si>
    <t>29/2021г</t>
  </si>
  <si>
    <t>Салат из свеклы с сухофруктами</t>
  </si>
  <si>
    <t>699/2016</t>
  </si>
  <si>
    <t>Печененье "Нарезное"</t>
  </si>
  <si>
    <t>213/2021г</t>
  </si>
  <si>
    <t>Каша гречневая вязкая</t>
  </si>
  <si>
    <t>460/2021г</t>
  </si>
  <si>
    <t>Чай с молоком</t>
  </si>
  <si>
    <t>15/2021г</t>
  </si>
  <si>
    <t>Салат из свежих огурцов с луком</t>
  </si>
  <si>
    <t>ТТК-6</t>
  </si>
  <si>
    <t>Бутерброд горячий с сыром и яйцом</t>
  </si>
  <si>
    <t>Фрукты</t>
  </si>
  <si>
    <t xml:space="preserve">Фрукты </t>
  </si>
  <si>
    <r>
      <t xml:space="preserve">салат Степной
</t>
    </r>
    <r>
      <rPr>
        <sz val="8"/>
        <color theme="1"/>
        <rFont val="Calibri"/>
        <family val="2"/>
        <charset val="204"/>
        <scheme val="minor"/>
      </rPr>
      <t>(карт, морк, сол.огур, лук, зел.гор)</t>
    </r>
  </si>
  <si>
    <t xml:space="preserve">Сыр   </t>
  </si>
  <si>
    <t>Масло сл.</t>
  </si>
  <si>
    <t>Каша гречневая рассып.</t>
  </si>
  <si>
    <t>Яйцо отвар.</t>
  </si>
  <si>
    <t>Чай с  молоком</t>
  </si>
  <si>
    <r>
      <t xml:space="preserve">Салат из св. овощей
</t>
    </r>
    <r>
      <rPr>
        <sz val="8"/>
        <color theme="1"/>
        <rFont val="Calibri"/>
        <family val="2"/>
        <charset val="204"/>
        <scheme val="minor"/>
      </rPr>
      <t>(капуста, огурец, морковь)</t>
    </r>
  </si>
  <si>
    <t>Фрукты (бананы)</t>
  </si>
  <si>
    <t>Каша рисовая мол.</t>
  </si>
  <si>
    <t>Каша ячневая мол.</t>
  </si>
  <si>
    <t>Бутер-д гор. с сыром и яйцом</t>
  </si>
  <si>
    <t>Сыр</t>
  </si>
  <si>
    <t>Каша "Дружба"</t>
  </si>
  <si>
    <t>Каша "Геркулес"</t>
  </si>
  <si>
    <t>Творожная запеканка</t>
  </si>
  <si>
    <t>Картофель тушенный</t>
  </si>
  <si>
    <t>Печенье нарезное</t>
  </si>
  <si>
    <t>Компот из сухофруктов</t>
  </si>
  <si>
    <t>377/2004г</t>
  </si>
  <si>
    <t>Рыба запеченая</t>
  </si>
  <si>
    <t>38/2004</t>
  </si>
  <si>
    <t>Салат "Летний"</t>
  </si>
  <si>
    <r>
      <t xml:space="preserve">Салат Летний                    </t>
    </r>
    <r>
      <rPr>
        <sz val="9"/>
        <rFont val="Calibri"/>
        <family val="2"/>
        <charset val="204"/>
        <scheme val="minor"/>
      </rPr>
      <t>(карт-ль, томаты, огурцы, яйцо)</t>
    </r>
  </si>
  <si>
    <t>Салат из свеклы с сыром и чесноком</t>
  </si>
  <si>
    <t xml:space="preserve">салат Витаминный </t>
  </si>
  <si>
    <t>2/2021г</t>
  </si>
  <si>
    <t>Салат витаминный</t>
  </si>
  <si>
    <t>Каша манная</t>
  </si>
  <si>
    <t>каша "Дружба"</t>
  </si>
  <si>
    <t>94/2021г</t>
  </si>
  <si>
    <t>Сыр   + масло сл.</t>
  </si>
  <si>
    <t>33/2021г</t>
  </si>
  <si>
    <t>Сыр + масло сл.</t>
  </si>
  <si>
    <t>Сыр + масло слив.</t>
  </si>
  <si>
    <r>
      <t>Директор</t>
    </r>
    <r>
      <rPr>
        <b/>
        <sz val="13"/>
        <color theme="1"/>
        <rFont val="Calibri"/>
        <family val="2"/>
        <charset val="204"/>
        <scheme val="minor"/>
      </rPr>
      <t xml:space="preserve"> </t>
    </r>
    <r>
      <rPr>
        <sz val="13"/>
        <color theme="1"/>
        <rFont val="Calibri"/>
        <family val="2"/>
        <charset val="204"/>
        <scheme val="minor"/>
      </rPr>
      <t>МОУ "Волипельгинская СОШ"</t>
    </r>
    <r>
      <rPr>
        <b/>
        <sz val="13"/>
        <color theme="1"/>
        <rFont val="Calibri"/>
        <family val="2"/>
        <charset val="204"/>
        <scheme val="minor"/>
      </rPr>
      <t xml:space="preserve">  </t>
    </r>
  </si>
  <si>
    <t>МОУ "Волипельгинская СОШ"</t>
  </si>
  <si>
    <t>Бушмакина Ю.В.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</si>
</sst>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.5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  <font>
      <b/>
      <i/>
      <sz val="12"/>
      <color indexed="8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u/>
      <sz val="10"/>
      <name val="Calibri"/>
      <family val="2"/>
      <charset val="204"/>
    </font>
    <font>
      <sz val="10"/>
      <name val="Calibri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11">
    <xf numFmtId="0" fontId="0" fillId="0" borderId="0" xfId="0"/>
    <xf numFmtId="0" fontId="0" fillId="0" borderId="0" xfId="0" applyBorder="1"/>
    <xf numFmtId="0" fontId="3" fillId="0" borderId="0" xfId="0" applyFont="1" applyBorder="1"/>
    <xf numFmtId="164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3" fillId="0" borderId="7" xfId="0" applyFont="1" applyBorder="1"/>
    <xf numFmtId="0" fontId="1" fillId="2" borderId="7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Border="1" applyAlignment="1"/>
    <xf numFmtId="0" fontId="0" fillId="0" borderId="0" xfId="0"/>
    <xf numFmtId="0" fontId="2" fillId="2" borderId="9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center"/>
    </xf>
    <xf numFmtId="2" fontId="2" fillId="2" borderId="9" xfId="0" applyNumberFormat="1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2" fontId="8" fillId="3" borderId="9" xfId="0" applyNumberFormat="1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 vertical="center"/>
    </xf>
    <xf numFmtId="2" fontId="2" fillId="3" borderId="14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10" fillId="0" borderId="0" xfId="0" applyFont="1" applyBorder="1"/>
    <xf numFmtId="0" fontId="12" fillId="0" borderId="0" xfId="0" applyFont="1" applyBorder="1"/>
    <xf numFmtId="0" fontId="11" fillId="0" borderId="0" xfId="0" applyFont="1"/>
    <xf numFmtId="0" fontId="1" fillId="2" borderId="35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0" fillId="0" borderId="0" xfId="0" applyFont="1"/>
    <xf numFmtId="0" fontId="0" fillId="0" borderId="34" xfId="0" applyBorder="1"/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0" fontId="6" fillId="2" borderId="2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1" fillId="2" borderId="4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2" borderId="4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left"/>
    </xf>
    <xf numFmtId="2" fontId="2" fillId="2" borderId="43" xfId="0" applyNumberFormat="1" applyFont="1" applyFill="1" applyBorder="1" applyAlignment="1">
      <alignment horizontal="center"/>
    </xf>
    <xf numFmtId="2" fontId="2" fillId="3" borderId="43" xfId="0" applyNumberFormat="1" applyFont="1" applyFill="1" applyBorder="1" applyAlignment="1">
      <alignment horizontal="center"/>
    </xf>
    <xf numFmtId="2" fontId="2" fillId="3" borderId="46" xfId="0" applyNumberFormat="1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2" fillId="2" borderId="49" xfId="0" applyFont="1" applyFill="1" applyBorder="1" applyAlignment="1">
      <alignment horizontal="center"/>
    </xf>
    <xf numFmtId="0" fontId="2" fillId="2" borderId="50" xfId="0" applyFont="1" applyFill="1" applyBorder="1" applyAlignment="1">
      <alignment horizontal="left"/>
    </xf>
    <xf numFmtId="0" fontId="2" fillId="2" borderId="50" xfId="0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2" fontId="2" fillId="2" borderId="50" xfId="0" applyNumberFormat="1" applyFont="1" applyFill="1" applyBorder="1" applyAlignment="1">
      <alignment horizontal="center"/>
    </xf>
    <xf numFmtId="2" fontId="2" fillId="3" borderId="50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5" fillId="0" borderId="0" xfId="0" applyFont="1"/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8" fillId="0" borderId="0" xfId="0" applyFont="1"/>
    <xf numFmtId="0" fontId="19" fillId="2" borderId="51" xfId="0" applyFont="1" applyFill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2" fontId="1" fillId="2" borderId="20" xfId="0" applyNumberFormat="1" applyFont="1" applyFill="1" applyBorder="1" applyAlignment="1">
      <alignment horizontal="center"/>
    </xf>
    <xf numFmtId="0" fontId="1" fillId="2" borderId="1" xfId="0" applyFont="1" applyFill="1" applyBorder="1" applyAlignment="1"/>
    <xf numFmtId="164" fontId="1" fillId="2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2" borderId="4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1" fillId="2" borderId="20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2" fontId="21" fillId="3" borderId="1" xfId="0" applyNumberFormat="1" applyFont="1" applyFill="1" applyBorder="1" applyAlignment="1">
      <alignment horizontal="center"/>
    </xf>
    <xf numFmtId="2" fontId="21" fillId="3" borderId="13" xfId="0" applyNumberFormat="1" applyFont="1" applyFill="1" applyBorder="1" applyAlignment="1">
      <alignment horizontal="center"/>
    </xf>
    <xf numFmtId="1" fontId="21" fillId="2" borderId="1" xfId="0" applyNumberFormat="1" applyFont="1" applyFill="1" applyBorder="1" applyAlignment="1">
      <alignment horizontal="center" vertical="center"/>
    </xf>
    <xf numFmtId="1" fontId="21" fillId="3" borderId="1" xfId="0" applyNumberFormat="1" applyFont="1" applyFill="1" applyBorder="1" applyAlignment="1">
      <alignment horizontal="center" vertical="center"/>
    </xf>
    <xf numFmtId="164" fontId="21" fillId="3" borderId="1" xfId="0" applyNumberFormat="1" applyFont="1" applyFill="1" applyBorder="1" applyAlignment="1">
      <alignment horizontal="center" vertical="center"/>
    </xf>
    <xf numFmtId="164" fontId="21" fillId="3" borderId="13" xfId="0" applyNumberFormat="1" applyFont="1" applyFill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1" fillId="2" borderId="0" xfId="0" applyFont="1" applyFill="1" applyBorder="1" applyAlignment="1">
      <alignment vertical="center" wrapText="1"/>
    </xf>
    <xf numFmtId="0" fontId="1" fillId="0" borderId="54" xfId="0" applyFont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/>
    </xf>
    <xf numFmtId="164" fontId="21" fillId="2" borderId="1" xfId="0" applyNumberFormat="1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horizontal="center" vertical="center"/>
    </xf>
    <xf numFmtId="0" fontId="2" fillId="5" borderId="57" xfId="0" applyFont="1" applyFill="1" applyBorder="1" applyAlignment="1">
      <alignment horizontal="center" vertical="center"/>
    </xf>
    <xf numFmtId="0" fontId="2" fillId="5" borderId="59" xfId="0" applyFont="1" applyFill="1" applyBorder="1" applyAlignment="1">
      <alignment horizontal="center" vertical="center"/>
    </xf>
    <xf numFmtId="0" fontId="2" fillId="5" borderId="55" xfId="0" applyFont="1" applyFill="1" applyBorder="1" applyAlignment="1">
      <alignment horizontal="center" vertical="center"/>
    </xf>
    <xf numFmtId="0" fontId="19" fillId="2" borderId="30" xfId="0" applyFont="1" applyFill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/>
    <xf numFmtId="0" fontId="19" fillId="2" borderId="6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1" fillId="0" borderId="1" xfId="0" applyFont="1" applyBorder="1"/>
    <xf numFmtId="164" fontId="21" fillId="0" borderId="1" xfId="0" applyNumberFormat="1" applyFont="1" applyBorder="1" applyAlignment="1">
      <alignment horizontal="center" vertical="center"/>
    </xf>
    <xf numFmtId="0" fontId="2" fillId="5" borderId="63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/>
    </xf>
    <xf numFmtId="0" fontId="2" fillId="5" borderId="20" xfId="0" applyFont="1" applyFill="1" applyBorder="1" applyAlignment="1">
      <alignment horizontal="center" vertical="center"/>
    </xf>
    <xf numFmtId="0" fontId="21" fillId="2" borderId="1" xfId="0" applyFont="1" applyFill="1" applyBorder="1"/>
    <xf numFmtId="0" fontId="1" fillId="0" borderId="46" xfId="0" applyFont="1" applyBorder="1" applyAlignment="1">
      <alignment horizontal="center" vertical="center" wrapText="1"/>
    </xf>
    <xf numFmtId="0" fontId="2" fillId="4" borderId="51" xfId="0" applyFont="1" applyFill="1" applyBorder="1" applyAlignment="1">
      <alignment horizontal="center" vertical="center"/>
    </xf>
    <xf numFmtId="0" fontId="24" fillId="4" borderId="53" xfId="0" applyFont="1" applyFill="1" applyBorder="1" applyAlignment="1">
      <alignment horizontal="center"/>
    </xf>
    <xf numFmtId="0" fontId="24" fillId="4" borderId="53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2" fontId="2" fillId="6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2" fontId="2" fillId="6" borderId="50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7" fillId="2" borderId="6" xfId="1" applyNumberFormat="1" applyFont="1" applyFill="1" applyBorder="1" applyAlignment="1" applyProtection="1">
      <alignment horizontal="center" vertical="center"/>
    </xf>
    <xf numFmtId="49" fontId="17" fillId="2" borderId="59" xfId="1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left" wrapText="1"/>
    </xf>
    <xf numFmtId="0" fontId="1" fillId="2" borderId="43" xfId="0" applyFont="1" applyFill="1" applyBorder="1" applyAlignment="1">
      <alignment horizontal="center" vertical="center"/>
    </xf>
    <xf numFmtId="1" fontId="1" fillId="3" borderId="43" xfId="0" applyNumberFormat="1" applyFont="1" applyFill="1" applyBorder="1" applyAlignment="1">
      <alignment horizontal="center" vertical="center"/>
    </xf>
    <xf numFmtId="2" fontId="1" fillId="2" borderId="43" xfId="0" applyNumberFormat="1" applyFont="1" applyFill="1" applyBorder="1" applyAlignment="1">
      <alignment horizontal="center" vertical="center"/>
    </xf>
    <xf numFmtId="2" fontId="1" fillId="3" borderId="43" xfId="0" applyNumberFormat="1" applyFont="1" applyFill="1" applyBorder="1" applyAlignment="1">
      <alignment horizontal="center" vertical="center"/>
    </xf>
    <xf numFmtId="2" fontId="1" fillId="3" borderId="46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2" fontId="2" fillId="7" borderId="1" xfId="0" applyNumberFormat="1" applyFont="1" applyFill="1" applyBorder="1" applyAlignment="1">
      <alignment horizontal="center"/>
    </xf>
    <xf numFmtId="2" fontId="2" fillId="7" borderId="9" xfId="0" applyNumberFormat="1" applyFont="1" applyFill="1" applyBorder="1" applyAlignment="1">
      <alignment horizontal="center"/>
    </xf>
    <xf numFmtId="2" fontId="2" fillId="7" borderId="43" xfId="0" applyNumberFormat="1" applyFont="1" applyFill="1" applyBorder="1" applyAlignment="1">
      <alignment horizontal="center"/>
    </xf>
    <xf numFmtId="0" fontId="19" fillId="2" borderId="29" xfId="0" applyFont="1" applyFill="1" applyBorder="1" applyAlignment="1">
      <alignment horizontal="center" vertical="center" textRotation="90"/>
    </xf>
    <xf numFmtId="0" fontId="19" fillId="2" borderId="30" xfId="0" applyFont="1" applyFill="1" applyBorder="1" applyAlignment="1">
      <alignment horizontal="center" vertical="center" textRotation="90"/>
    </xf>
    <xf numFmtId="0" fontId="19" fillId="2" borderId="31" xfId="0" applyFont="1" applyFill="1" applyBorder="1" applyAlignment="1">
      <alignment horizontal="center" vertical="center" textRotation="90"/>
    </xf>
    <xf numFmtId="49" fontId="17" fillId="2" borderId="24" xfId="1" applyNumberFormat="1" applyFont="1" applyFill="1" applyBorder="1" applyAlignment="1" applyProtection="1">
      <alignment horizontal="center" vertical="center"/>
    </xf>
    <xf numFmtId="49" fontId="17" fillId="2" borderId="55" xfId="1" applyNumberFormat="1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49" fontId="17" fillId="2" borderId="2" xfId="1" applyNumberFormat="1" applyFont="1" applyFill="1" applyBorder="1" applyAlignment="1" applyProtection="1">
      <alignment horizontal="center" vertical="center"/>
    </xf>
    <xf numFmtId="49" fontId="17" fillId="2" borderId="57" xfId="1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9" fontId="17" fillId="2" borderId="6" xfId="1" applyNumberFormat="1" applyFont="1" applyFill="1" applyBorder="1" applyAlignment="1" applyProtection="1">
      <alignment horizontal="center" vertical="center"/>
    </xf>
    <xf numFmtId="49" fontId="17" fillId="2" borderId="7" xfId="1" applyNumberFormat="1" applyFont="1" applyFill="1" applyBorder="1" applyAlignment="1" applyProtection="1">
      <alignment horizontal="center" vertical="center"/>
    </xf>
    <xf numFmtId="0" fontId="19" fillId="2" borderId="60" xfId="0" applyFont="1" applyFill="1" applyBorder="1" applyAlignment="1">
      <alignment horizontal="center" vertical="center" textRotation="90"/>
    </xf>
    <xf numFmtId="0" fontId="19" fillId="2" borderId="27" xfId="0" applyFont="1" applyFill="1" applyBorder="1" applyAlignment="1">
      <alignment horizontal="center" vertical="center" textRotation="90"/>
    </xf>
    <xf numFmtId="0" fontId="19" fillId="2" borderId="61" xfId="0" applyFont="1" applyFill="1" applyBorder="1" applyAlignment="1">
      <alignment horizontal="center" vertical="center" textRotation="90"/>
    </xf>
    <xf numFmtId="0" fontId="1" fillId="2" borderId="8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49" fontId="16" fillId="4" borderId="52" xfId="1" applyNumberFormat="1" applyFont="1" applyFill="1" applyBorder="1" applyAlignment="1" applyProtection="1">
      <alignment horizontal="center" vertical="center"/>
    </xf>
    <xf numFmtId="49" fontId="16" fillId="4" borderId="56" xfId="1" applyNumberFormat="1" applyFont="1" applyFill="1" applyBorder="1" applyAlignment="1" applyProtection="1">
      <alignment horizontal="center" vertical="center"/>
    </xf>
    <xf numFmtId="49" fontId="17" fillId="2" borderId="15" xfId="1" applyNumberFormat="1" applyFont="1" applyFill="1" applyBorder="1" applyAlignment="1" applyProtection="1">
      <alignment horizontal="center" vertical="center"/>
    </xf>
    <xf numFmtId="49" fontId="17" fillId="2" borderId="16" xfId="1" applyNumberFormat="1" applyFont="1" applyFill="1" applyBorder="1" applyAlignment="1" applyProtection="1">
      <alignment horizontal="center" vertical="center"/>
    </xf>
    <xf numFmtId="49" fontId="17" fillId="2" borderId="48" xfId="1" applyNumberFormat="1" applyFont="1" applyFill="1" applyBorder="1" applyAlignment="1" applyProtection="1">
      <alignment horizontal="center" vertical="center"/>
    </xf>
    <xf numFmtId="49" fontId="17" fillId="2" borderId="15" xfId="1" applyNumberFormat="1" applyFont="1" applyFill="1" applyBorder="1" applyAlignment="1" applyProtection="1">
      <alignment horizontal="center" vertical="center" wrapText="1"/>
    </xf>
    <xf numFmtId="49" fontId="17" fillId="2" borderId="48" xfId="1" applyNumberFormat="1" applyFont="1" applyFill="1" applyBorder="1" applyAlignment="1" applyProtection="1">
      <alignment horizontal="center" vertical="center" wrapText="1"/>
    </xf>
    <xf numFmtId="49" fontId="17" fillId="2" borderId="59" xfId="1" applyNumberFormat="1" applyFont="1" applyFill="1" applyBorder="1" applyAlignment="1" applyProtection="1">
      <alignment horizontal="center" vertical="center"/>
    </xf>
    <xf numFmtId="0" fontId="1" fillId="2" borderId="4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5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3" fillId="0" borderId="0" xfId="0" applyFont="1"/>
    <xf numFmtId="0" fontId="9" fillId="3" borderId="19" xfId="0" applyFont="1" applyFill="1" applyBorder="1" applyAlignment="1">
      <alignment vertical="center" textRotation="90"/>
    </xf>
    <xf numFmtId="0" fontId="9" fillId="3" borderId="20" xfId="0" applyFont="1" applyFill="1" applyBorder="1" applyAlignment="1">
      <alignment vertical="center" textRotation="90"/>
    </xf>
    <xf numFmtId="0" fontId="9" fillId="3" borderId="21" xfId="0" applyFont="1" applyFill="1" applyBorder="1" applyAlignment="1">
      <alignment vertical="center" textRotation="90"/>
    </xf>
    <xf numFmtId="0" fontId="2" fillId="2" borderId="2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44" xfId="0" applyFont="1" applyFill="1" applyBorder="1" applyAlignment="1">
      <alignment vertical="center" textRotation="90"/>
    </xf>
    <xf numFmtId="0" fontId="2" fillId="2" borderId="47" xfId="0" applyFont="1" applyFill="1" applyBorder="1" applyAlignment="1">
      <alignment vertical="center" textRotation="90"/>
    </xf>
    <xf numFmtId="0" fontId="2" fillId="2" borderId="29" xfId="0" applyFont="1" applyFill="1" applyBorder="1" applyAlignment="1">
      <alignment horizontal="center" vertical="center" textRotation="90"/>
    </xf>
    <xf numFmtId="0" fontId="2" fillId="2" borderId="30" xfId="0" applyFont="1" applyFill="1" applyBorder="1" applyAlignment="1">
      <alignment horizontal="center" vertical="center" textRotation="90"/>
    </xf>
    <xf numFmtId="0" fontId="2" fillId="2" borderId="31" xfId="0" applyFont="1" applyFill="1" applyBorder="1" applyAlignment="1">
      <alignment horizontal="center" vertical="center" textRotation="90"/>
    </xf>
    <xf numFmtId="0" fontId="2" fillId="2" borderId="3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/>
    <xf numFmtId="0" fontId="13" fillId="0" borderId="0" xfId="0" applyFont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textRotation="90"/>
    </xf>
    <xf numFmtId="0" fontId="2" fillId="2" borderId="27" xfId="0" applyFont="1" applyFill="1" applyBorder="1" applyAlignment="1">
      <alignment horizontal="center" vertical="center" textRotation="90"/>
    </xf>
    <xf numFmtId="0" fontId="2" fillId="2" borderId="28" xfId="0" applyFont="1" applyFill="1" applyBorder="1" applyAlignment="1">
      <alignment horizontal="center" vertical="center" textRotation="90"/>
    </xf>
    <xf numFmtId="0" fontId="2" fillId="2" borderId="44" xfId="0" applyFont="1" applyFill="1" applyBorder="1" applyAlignment="1">
      <alignment horizontal="center" vertical="center" textRotation="90"/>
    </xf>
    <xf numFmtId="0" fontId="2" fillId="2" borderId="47" xfId="0" applyFont="1" applyFill="1" applyBorder="1" applyAlignment="1">
      <alignment horizontal="center" vertical="center" textRotation="90"/>
    </xf>
    <xf numFmtId="0" fontId="2" fillId="2" borderId="45" xfId="0" applyFont="1" applyFill="1" applyBorder="1" applyAlignment="1">
      <alignment horizontal="center" vertical="center" textRotation="90"/>
    </xf>
    <xf numFmtId="0" fontId="2" fillId="0" borderId="44" xfId="0" applyFont="1" applyBorder="1" applyAlignment="1">
      <alignment horizontal="center" vertical="center" textRotation="90"/>
    </xf>
    <xf numFmtId="0" fontId="2" fillId="0" borderId="47" xfId="0" applyFont="1" applyBorder="1" applyAlignment="1">
      <alignment horizontal="center" vertical="center" textRotation="90"/>
    </xf>
    <xf numFmtId="0" fontId="2" fillId="0" borderId="45" xfId="0" applyFont="1" applyBorder="1" applyAlignment="1">
      <alignment horizontal="center" vertical="center" textRotation="90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3" fillId="2" borderId="34" xfId="0" applyFont="1" applyFill="1" applyBorder="1" applyAlignment="1">
      <alignment horizontal="center"/>
    </xf>
    <xf numFmtId="0" fontId="1" fillId="0" borderId="40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textRotation="90"/>
    </xf>
    <xf numFmtId="0" fontId="2" fillId="0" borderId="30" xfId="0" applyFont="1" applyBorder="1" applyAlignment="1">
      <alignment horizontal="center" vertical="center" textRotation="90"/>
    </xf>
    <xf numFmtId="0" fontId="2" fillId="0" borderId="31" xfId="0" applyFont="1" applyBorder="1" applyAlignment="1">
      <alignment horizontal="center" vertical="center" textRotation="90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0" fillId="2" borderId="0" xfId="0" applyFont="1" applyFill="1" applyAlignment="1">
      <alignment horizontal="center" vertical="center"/>
    </xf>
    <xf numFmtId="0" fontId="10" fillId="2" borderId="0" xfId="0" applyFont="1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66"/>
      <color rgb="FF99FF99"/>
      <color rgb="FF99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0"/>
  <sheetViews>
    <sheetView zoomScale="90" zoomScaleNormal="90" workbookViewId="0">
      <selection activeCell="H16" sqref="H16:I16"/>
    </sheetView>
  </sheetViews>
  <sheetFormatPr defaultRowHeight="12.75" x14ac:dyDescent="0.2"/>
  <cols>
    <col min="1" max="1" width="5.42578125" style="80" customWidth="1"/>
    <col min="2" max="2" width="5.7109375" style="89" customWidth="1"/>
    <col min="3" max="3" width="11.42578125" style="80" customWidth="1"/>
    <col min="4" max="4" width="11" style="80" customWidth="1"/>
    <col min="5" max="5" width="10.28515625" style="80" customWidth="1"/>
    <col min="6" max="6" width="12.7109375" style="80" customWidth="1"/>
    <col min="7" max="7" width="13" style="80" customWidth="1"/>
    <col min="8" max="8" width="12.85546875" style="80" customWidth="1"/>
    <col min="9" max="9" width="11.5703125" style="80" customWidth="1"/>
    <col min="10" max="10" width="14.140625" style="80" customWidth="1"/>
    <col min="11" max="11" width="8.28515625" style="80" customWidth="1"/>
    <col min="12" max="12" width="10.85546875" style="80" customWidth="1"/>
    <col min="13" max="13" width="10.5703125" style="80" customWidth="1"/>
    <col min="14" max="14" width="21.5703125" style="80" customWidth="1"/>
    <col min="15" max="17" width="9.140625" style="80"/>
    <col min="18" max="18" width="10.28515625" style="80" customWidth="1"/>
    <col min="19" max="256" width="9.140625" style="80"/>
    <col min="257" max="257" width="5.42578125" style="80" customWidth="1"/>
    <col min="258" max="258" width="7" style="80" customWidth="1"/>
    <col min="259" max="259" width="11.42578125" style="80" customWidth="1"/>
    <col min="260" max="260" width="11" style="80" customWidth="1"/>
    <col min="261" max="261" width="15" style="80" customWidth="1"/>
    <col min="262" max="263" width="12.7109375" style="80" customWidth="1"/>
    <col min="264" max="264" width="12.85546875" style="80" customWidth="1"/>
    <col min="265" max="265" width="11.42578125" style="80" customWidth="1"/>
    <col min="266" max="266" width="14.140625" style="80" customWidth="1"/>
    <col min="267" max="267" width="7.7109375" style="80" customWidth="1"/>
    <col min="268" max="268" width="9.140625" style="80"/>
    <col min="269" max="269" width="12.140625" style="80" customWidth="1"/>
    <col min="270" max="270" width="22.140625" style="80" customWidth="1"/>
    <col min="271" max="512" width="9.140625" style="80"/>
    <col min="513" max="513" width="5.42578125" style="80" customWidth="1"/>
    <col min="514" max="514" width="7" style="80" customWidth="1"/>
    <col min="515" max="515" width="11.42578125" style="80" customWidth="1"/>
    <col min="516" max="516" width="11" style="80" customWidth="1"/>
    <col min="517" max="517" width="15" style="80" customWidth="1"/>
    <col min="518" max="519" width="12.7109375" style="80" customWidth="1"/>
    <col min="520" max="520" width="12.85546875" style="80" customWidth="1"/>
    <col min="521" max="521" width="11.42578125" style="80" customWidth="1"/>
    <col min="522" max="522" width="14.140625" style="80" customWidth="1"/>
    <col min="523" max="523" width="7.7109375" style="80" customWidth="1"/>
    <col min="524" max="524" width="9.140625" style="80"/>
    <col min="525" max="525" width="12.140625" style="80" customWidth="1"/>
    <col min="526" max="526" width="22.140625" style="80" customWidth="1"/>
    <col min="527" max="768" width="9.140625" style="80"/>
    <col min="769" max="769" width="5.42578125" style="80" customWidth="1"/>
    <col min="770" max="770" width="7" style="80" customWidth="1"/>
    <col min="771" max="771" width="11.42578125" style="80" customWidth="1"/>
    <col min="772" max="772" width="11" style="80" customWidth="1"/>
    <col min="773" max="773" width="15" style="80" customWidth="1"/>
    <col min="774" max="775" width="12.7109375" style="80" customWidth="1"/>
    <col min="776" max="776" width="12.85546875" style="80" customWidth="1"/>
    <col min="777" max="777" width="11.42578125" style="80" customWidth="1"/>
    <col min="778" max="778" width="14.140625" style="80" customWidth="1"/>
    <col min="779" max="779" width="7.7109375" style="80" customWidth="1"/>
    <col min="780" max="780" width="9.140625" style="80"/>
    <col min="781" max="781" width="12.140625" style="80" customWidth="1"/>
    <col min="782" max="782" width="22.140625" style="80" customWidth="1"/>
    <col min="783" max="1024" width="9.140625" style="80"/>
    <col min="1025" max="1025" width="5.42578125" style="80" customWidth="1"/>
    <col min="1026" max="1026" width="7" style="80" customWidth="1"/>
    <col min="1027" max="1027" width="11.42578125" style="80" customWidth="1"/>
    <col min="1028" max="1028" width="11" style="80" customWidth="1"/>
    <col min="1029" max="1029" width="15" style="80" customWidth="1"/>
    <col min="1030" max="1031" width="12.7109375" style="80" customWidth="1"/>
    <col min="1032" max="1032" width="12.85546875" style="80" customWidth="1"/>
    <col min="1033" max="1033" width="11.42578125" style="80" customWidth="1"/>
    <col min="1034" max="1034" width="14.140625" style="80" customWidth="1"/>
    <col min="1035" max="1035" width="7.7109375" style="80" customWidth="1"/>
    <col min="1036" max="1036" width="9.140625" style="80"/>
    <col min="1037" max="1037" width="12.140625" style="80" customWidth="1"/>
    <col min="1038" max="1038" width="22.140625" style="80" customWidth="1"/>
    <col min="1039" max="1280" width="9.140625" style="80"/>
    <col min="1281" max="1281" width="5.42578125" style="80" customWidth="1"/>
    <col min="1282" max="1282" width="7" style="80" customWidth="1"/>
    <col min="1283" max="1283" width="11.42578125" style="80" customWidth="1"/>
    <col min="1284" max="1284" width="11" style="80" customWidth="1"/>
    <col min="1285" max="1285" width="15" style="80" customWidth="1"/>
    <col min="1286" max="1287" width="12.7109375" style="80" customWidth="1"/>
    <col min="1288" max="1288" width="12.85546875" style="80" customWidth="1"/>
    <col min="1289" max="1289" width="11.42578125" style="80" customWidth="1"/>
    <col min="1290" max="1290" width="14.140625" style="80" customWidth="1"/>
    <col min="1291" max="1291" width="7.7109375" style="80" customWidth="1"/>
    <col min="1292" max="1292" width="9.140625" style="80"/>
    <col min="1293" max="1293" width="12.140625" style="80" customWidth="1"/>
    <col min="1294" max="1294" width="22.140625" style="80" customWidth="1"/>
    <col min="1295" max="1536" width="9.140625" style="80"/>
    <col min="1537" max="1537" width="5.42578125" style="80" customWidth="1"/>
    <col min="1538" max="1538" width="7" style="80" customWidth="1"/>
    <col min="1539" max="1539" width="11.42578125" style="80" customWidth="1"/>
    <col min="1540" max="1540" width="11" style="80" customWidth="1"/>
    <col min="1541" max="1541" width="15" style="80" customWidth="1"/>
    <col min="1542" max="1543" width="12.7109375" style="80" customWidth="1"/>
    <col min="1544" max="1544" width="12.85546875" style="80" customWidth="1"/>
    <col min="1545" max="1545" width="11.42578125" style="80" customWidth="1"/>
    <col min="1546" max="1546" width="14.140625" style="80" customWidth="1"/>
    <col min="1547" max="1547" width="7.7109375" style="80" customWidth="1"/>
    <col min="1548" max="1548" width="9.140625" style="80"/>
    <col min="1549" max="1549" width="12.140625" style="80" customWidth="1"/>
    <col min="1550" max="1550" width="22.140625" style="80" customWidth="1"/>
    <col min="1551" max="1792" width="9.140625" style="80"/>
    <col min="1793" max="1793" width="5.42578125" style="80" customWidth="1"/>
    <col min="1794" max="1794" width="7" style="80" customWidth="1"/>
    <col min="1795" max="1795" width="11.42578125" style="80" customWidth="1"/>
    <col min="1796" max="1796" width="11" style="80" customWidth="1"/>
    <col min="1797" max="1797" width="15" style="80" customWidth="1"/>
    <col min="1798" max="1799" width="12.7109375" style="80" customWidth="1"/>
    <col min="1800" max="1800" width="12.85546875" style="80" customWidth="1"/>
    <col min="1801" max="1801" width="11.42578125" style="80" customWidth="1"/>
    <col min="1802" max="1802" width="14.140625" style="80" customWidth="1"/>
    <col min="1803" max="1803" width="7.7109375" style="80" customWidth="1"/>
    <col min="1804" max="1804" width="9.140625" style="80"/>
    <col min="1805" max="1805" width="12.140625" style="80" customWidth="1"/>
    <col min="1806" max="1806" width="22.140625" style="80" customWidth="1"/>
    <col min="1807" max="2048" width="9.140625" style="80"/>
    <col min="2049" max="2049" width="5.42578125" style="80" customWidth="1"/>
    <col min="2050" max="2050" width="7" style="80" customWidth="1"/>
    <col min="2051" max="2051" width="11.42578125" style="80" customWidth="1"/>
    <col min="2052" max="2052" width="11" style="80" customWidth="1"/>
    <col min="2053" max="2053" width="15" style="80" customWidth="1"/>
    <col min="2054" max="2055" width="12.7109375" style="80" customWidth="1"/>
    <col min="2056" max="2056" width="12.85546875" style="80" customWidth="1"/>
    <col min="2057" max="2057" width="11.42578125" style="80" customWidth="1"/>
    <col min="2058" max="2058" width="14.140625" style="80" customWidth="1"/>
    <col min="2059" max="2059" width="7.7109375" style="80" customWidth="1"/>
    <col min="2060" max="2060" width="9.140625" style="80"/>
    <col min="2061" max="2061" width="12.140625" style="80" customWidth="1"/>
    <col min="2062" max="2062" width="22.140625" style="80" customWidth="1"/>
    <col min="2063" max="2304" width="9.140625" style="80"/>
    <col min="2305" max="2305" width="5.42578125" style="80" customWidth="1"/>
    <col min="2306" max="2306" width="7" style="80" customWidth="1"/>
    <col min="2307" max="2307" width="11.42578125" style="80" customWidth="1"/>
    <col min="2308" max="2308" width="11" style="80" customWidth="1"/>
    <col min="2309" max="2309" width="15" style="80" customWidth="1"/>
    <col min="2310" max="2311" width="12.7109375" style="80" customWidth="1"/>
    <col min="2312" max="2312" width="12.85546875" style="80" customWidth="1"/>
    <col min="2313" max="2313" width="11.42578125" style="80" customWidth="1"/>
    <col min="2314" max="2314" width="14.140625" style="80" customWidth="1"/>
    <col min="2315" max="2315" width="7.7109375" style="80" customWidth="1"/>
    <col min="2316" max="2316" width="9.140625" style="80"/>
    <col min="2317" max="2317" width="12.140625" style="80" customWidth="1"/>
    <col min="2318" max="2318" width="22.140625" style="80" customWidth="1"/>
    <col min="2319" max="2560" width="9.140625" style="80"/>
    <col min="2561" max="2561" width="5.42578125" style="80" customWidth="1"/>
    <col min="2562" max="2562" width="7" style="80" customWidth="1"/>
    <col min="2563" max="2563" width="11.42578125" style="80" customWidth="1"/>
    <col min="2564" max="2564" width="11" style="80" customWidth="1"/>
    <col min="2565" max="2565" width="15" style="80" customWidth="1"/>
    <col min="2566" max="2567" width="12.7109375" style="80" customWidth="1"/>
    <col min="2568" max="2568" width="12.85546875" style="80" customWidth="1"/>
    <col min="2569" max="2569" width="11.42578125" style="80" customWidth="1"/>
    <col min="2570" max="2570" width="14.140625" style="80" customWidth="1"/>
    <col min="2571" max="2571" width="7.7109375" style="80" customWidth="1"/>
    <col min="2572" max="2572" width="9.140625" style="80"/>
    <col min="2573" max="2573" width="12.140625" style="80" customWidth="1"/>
    <col min="2574" max="2574" width="22.140625" style="80" customWidth="1"/>
    <col min="2575" max="2816" width="9.140625" style="80"/>
    <col min="2817" max="2817" width="5.42578125" style="80" customWidth="1"/>
    <col min="2818" max="2818" width="7" style="80" customWidth="1"/>
    <col min="2819" max="2819" width="11.42578125" style="80" customWidth="1"/>
    <col min="2820" max="2820" width="11" style="80" customWidth="1"/>
    <col min="2821" max="2821" width="15" style="80" customWidth="1"/>
    <col min="2822" max="2823" width="12.7109375" style="80" customWidth="1"/>
    <col min="2824" max="2824" width="12.85546875" style="80" customWidth="1"/>
    <col min="2825" max="2825" width="11.42578125" style="80" customWidth="1"/>
    <col min="2826" max="2826" width="14.140625" style="80" customWidth="1"/>
    <col min="2827" max="2827" width="7.7109375" style="80" customWidth="1"/>
    <col min="2828" max="2828" width="9.140625" style="80"/>
    <col min="2829" max="2829" width="12.140625" style="80" customWidth="1"/>
    <col min="2830" max="2830" width="22.140625" style="80" customWidth="1"/>
    <col min="2831" max="3072" width="9.140625" style="80"/>
    <col min="3073" max="3073" width="5.42578125" style="80" customWidth="1"/>
    <col min="3074" max="3074" width="7" style="80" customWidth="1"/>
    <col min="3075" max="3075" width="11.42578125" style="80" customWidth="1"/>
    <col min="3076" max="3076" width="11" style="80" customWidth="1"/>
    <col min="3077" max="3077" width="15" style="80" customWidth="1"/>
    <col min="3078" max="3079" width="12.7109375" style="80" customWidth="1"/>
    <col min="3080" max="3080" width="12.85546875" style="80" customWidth="1"/>
    <col min="3081" max="3081" width="11.42578125" style="80" customWidth="1"/>
    <col min="3082" max="3082" width="14.140625" style="80" customWidth="1"/>
    <col min="3083" max="3083" width="7.7109375" style="80" customWidth="1"/>
    <col min="3084" max="3084" width="9.140625" style="80"/>
    <col min="3085" max="3085" width="12.140625" style="80" customWidth="1"/>
    <col min="3086" max="3086" width="22.140625" style="80" customWidth="1"/>
    <col min="3087" max="3328" width="9.140625" style="80"/>
    <col min="3329" max="3329" width="5.42578125" style="80" customWidth="1"/>
    <col min="3330" max="3330" width="7" style="80" customWidth="1"/>
    <col min="3331" max="3331" width="11.42578125" style="80" customWidth="1"/>
    <col min="3332" max="3332" width="11" style="80" customWidth="1"/>
    <col min="3333" max="3333" width="15" style="80" customWidth="1"/>
    <col min="3334" max="3335" width="12.7109375" style="80" customWidth="1"/>
    <col min="3336" max="3336" width="12.85546875" style="80" customWidth="1"/>
    <col min="3337" max="3337" width="11.42578125" style="80" customWidth="1"/>
    <col min="3338" max="3338" width="14.140625" style="80" customWidth="1"/>
    <col min="3339" max="3339" width="7.7109375" style="80" customWidth="1"/>
    <col min="3340" max="3340" width="9.140625" style="80"/>
    <col min="3341" max="3341" width="12.140625" style="80" customWidth="1"/>
    <col min="3342" max="3342" width="22.140625" style="80" customWidth="1"/>
    <col min="3343" max="3584" width="9.140625" style="80"/>
    <col min="3585" max="3585" width="5.42578125" style="80" customWidth="1"/>
    <col min="3586" max="3586" width="7" style="80" customWidth="1"/>
    <col min="3587" max="3587" width="11.42578125" style="80" customWidth="1"/>
    <col min="3588" max="3588" width="11" style="80" customWidth="1"/>
    <col min="3589" max="3589" width="15" style="80" customWidth="1"/>
    <col min="3590" max="3591" width="12.7109375" style="80" customWidth="1"/>
    <col min="3592" max="3592" width="12.85546875" style="80" customWidth="1"/>
    <col min="3593" max="3593" width="11.42578125" style="80" customWidth="1"/>
    <col min="3594" max="3594" width="14.140625" style="80" customWidth="1"/>
    <col min="3595" max="3595" width="7.7109375" style="80" customWidth="1"/>
    <col min="3596" max="3596" width="9.140625" style="80"/>
    <col min="3597" max="3597" width="12.140625" style="80" customWidth="1"/>
    <col min="3598" max="3598" width="22.140625" style="80" customWidth="1"/>
    <col min="3599" max="3840" width="9.140625" style="80"/>
    <col min="3841" max="3841" width="5.42578125" style="80" customWidth="1"/>
    <col min="3842" max="3842" width="7" style="80" customWidth="1"/>
    <col min="3843" max="3843" width="11.42578125" style="80" customWidth="1"/>
    <col min="3844" max="3844" width="11" style="80" customWidth="1"/>
    <col min="3845" max="3845" width="15" style="80" customWidth="1"/>
    <col min="3846" max="3847" width="12.7109375" style="80" customWidth="1"/>
    <col min="3848" max="3848" width="12.85546875" style="80" customWidth="1"/>
    <col min="3849" max="3849" width="11.42578125" style="80" customWidth="1"/>
    <col min="3850" max="3850" width="14.140625" style="80" customWidth="1"/>
    <col min="3851" max="3851" width="7.7109375" style="80" customWidth="1"/>
    <col min="3852" max="3852" width="9.140625" style="80"/>
    <col min="3853" max="3853" width="12.140625" style="80" customWidth="1"/>
    <col min="3854" max="3854" width="22.140625" style="80" customWidth="1"/>
    <col min="3855" max="4096" width="9.140625" style="80"/>
    <col min="4097" max="4097" width="5.42578125" style="80" customWidth="1"/>
    <col min="4098" max="4098" width="7" style="80" customWidth="1"/>
    <col min="4099" max="4099" width="11.42578125" style="80" customWidth="1"/>
    <col min="4100" max="4100" width="11" style="80" customWidth="1"/>
    <col min="4101" max="4101" width="15" style="80" customWidth="1"/>
    <col min="4102" max="4103" width="12.7109375" style="80" customWidth="1"/>
    <col min="4104" max="4104" width="12.85546875" style="80" customWidth="1"/>
    <col min="4105" max="4105" width="11.42578125" style="80" customWidth="1"/>
    <col min="4106" max="4106" width="14.140625" style="80" customWidth="1"/>
    <col min="4107" max="4107" width="7.7109375" style="80" customWidth="1"/>
    <col min="4108" max="4108" width="9.140625" style="80"/>
    <col min="4109" max="4109" width="12.140625" style="80" customWidth="1"/>
    <col min="4110" max="4110" width="22.140625" style="80" customWidth="1"/>
    <col min="4111" max="4352" width="9.140625" style="80"/>
    <col min="4353" max="4353" width="5.42578125" style="80" customWidth="1"/>
    <col min="4354" max="4354" width="7" style="80" customWidth="1"/>
    <col min="4355" max="4355" width="11.42578125" style="80" customWidth="1"/>
    <col min="4356" max="4356" width="11" style="80" customWidth="1"/>
    <col min="4357" max="4357" width="15" style="80" customWidth="1"/>
    <col min="4358" max="4359" width="12.7109375" style="80" customWidth="1"/>
    <col min="4360" max="4360" width="12.85546875" style="80" customWidth="1"/>
    <col min="4361" max="4361" width="11.42578125" style="80" customWidth="1"/>
    <col min="4362" max="4362" width="14.140625" style="80" customWidth="1"/>
    <col min="4363" max="4363" width="7.7109375" style="80" customWidth="1"/>
    <col min="4364" max="4364" width="9.140625" style="80"/>
    <col min="4365" max="4365" width="12.140625" style="80" customWidth="1"/>
    <col min="4366" max="4366" width="22.140625" style="80" customWidth="1"/>
    <col min="4367" max="4608" width="9.140625" style="80"/>
    <col min="4609" max="4609" width="5.42578125" style="80" customWidth="1"/>
    <col min="4610" max="4610" width="7" style="80" customWidth="1"/>
    <col min="4611" max="4611" width="11.42578125" style="80" customWidth="1"/>
    <col min="4612" max="4612" width="11" style="80" customWidth="1"/>
    <col min="4613" max="4613" width="15" style="80" customWidth="1"/>
    <col min="4614" max="4615" width="12.7109375" style="80" customWidth="1"/>
    <col min="4616" max="4616" width="12.85546875" style="80" customWidth="1"/>
    <col min="4617" max="4617" width="11.42578125" style="80" customWidth="1"/>
    <col min="4618" max="4618" width="14.140625" style="80" customWidth="1"/>
    <col min="4619" max="4619" width="7.7109375" style="80" customWidth="1"/>
    <col min="4620" max="4620" width="9.140625" style="80"/>
    <col min="4621" max="4621" width="12.140625" style="80" customWidth="1"/>
    <col min="4622" max="4622" width="22.140625" style="80" customWidth="1"/>
    <col min="4623" max="4864" width="9.140625" style="80"/>
    <col min="4865" max="4865" width="5.42578125" style="80" customWidth="1"/>
    <col min="4866" max="4866" width="7" style="80" customWidth="1"/>
    <col min="4867" max="4867" width="11.42578125" style="80" customWidth="1"/>
    <col min="4868" max="4868" width="11" style="80" customWidth="1"/>
    <col min="4869" max="4869" width="15" style="80" customWidth="1"/>
    <col min="4870" max="4871" width="12.7109375" style="80" customWidth="1"/>
    <col min="4872" max="4872" width="12.85546875" style="80" customWidth="1"/>
    <col min="4873" max="4873" width="11.42578125" style="80" customWidth="1"/>
    <col min="4874" max="4874" width="14.140625" style="80" customWidth="1"/>
    <col min="4875" max="4875" width="7.7109375" style="80" customWidth="1"/>
    <col min="4876" max="4876" width="9.140625" style="80"/>
    <col min="4877" max="4877" width="12.140625" style="80" customWidth="1"/>
    <col min="4878" max="4878" width="22.140625" style="80" customWidth="1"/>
    <col min="4879" max="5120" width="9.140625" style="80"/>
    <col min="5121" max="5121" width="5.42578125" style="80" customWidth="1"/>
    <col min="5122" max="5122" width="7" style="80" customWidth="1"/>
    <col min="5123" max="5123" width="11.42578125" style="80" customWidth="1"/>
    <col min="5124" max="5124" width="11" style="80" customWidth="1"/>
    <col min="5125" max="5125" width="15" style="80" customWidth="1"/>
    <col min="5126" max="5127" width="12.7109375" style="80" customWidth="1"/>
    <col min="5128" max="5128" width="12.85546875" style="80" customWidth="1"/>
    <col min="5129" max="5129" width="11.42578125" style="80" customWidth="1"/>
    <col min="5130" max="5130" width="14.140625" style="80" customWidth="1"/>
    <col min="5131" max="5131" width="7.7109375" style="80" customWidth="1"/>
    <col min="5132" max="5132" width="9.140625" style="80"/>
    <col min="5133" max="5133" width="12.140625" style="80" customWidth="1"/>
    <col min="5134" max="5134" width="22.140625" style="80" customWidth="1"/>
    <col min="5135" max="5376" width="9.140625" style="80"/>
    <col min="5377" max="5377" width="5.42578125" style="80" customWidth="1"/>
    <col min="5378" max="5378" width="7" style="80" customWidth="1"/>
    <col min="5379" max="5379" width="11.42578125" style="80" customWidth="1"/>
    <col min="5380" max="5380" width="11" style="80" customWidth="1"/>
    <col min="5381" max="5381" width="15" style="80" customWidth="1"/>
    <col min="5382" max="5383" width="12.7109375" style="80" customWidth="1"/>
    <col min="5384" max="5384" width="12.85546875" style="80" customWidth="1"/>
    <col min="5385" max="5385" width="11.42578125" style="80" customWidth="1"/>
    <col min="5386" max="5386" width="14.140625" style="80" customWidth="1"/>
    <col min="5387" max="5387" width="7.7109375" style="80" customWidth="1"/>
    <col min="5388" max="5388" width="9.140625" style="80"/>
    <col min="5389" max="5389" width="12.140625" style="80" customWidth="1"/>
    <col min="5390" max="5390" width="22.140625" style="80" customWidth="1"/>
    <col min="5391" max="5632" width="9.140625" style="80"/>
    <col min="5633" max="5633" width="5.42578125" style="80" customWidth="1"/>
    <col min="5634" max="5634" width="7" style="80" customWidth="1"/>
    <col min="5635" max="5635" width="11.42578125" style="80" customWidth="1"/>
    <col min="5636" max="5636" width="11" style="80" customWidth="1"/>
    <col min="5637" max="5637" width="15" style="80" customWidth="1"/>
    <col min="5638" max="5639" width="12.7109375" style="80" customWidth="1"/>
    <col min="5640" max="5640" width="12.85546875" style="80" customWidth="1"/>
    <col min="5641" max="5641" width="11.42578125" style="80" customWidth="1"/>
    <col min="5642" max="5642" width="14.140625" style="80" customWidth="1"/>
    <col min="5643" max="5643" width="7.7109375" style="80" customWidth="1"/>
    <col min="5644" max="5644" width="9.140625" style="80"/>
    <col min="5645" max="5645" width="12.140625" style="80" customWidth="1"/>
    <col min="5646" max="5646" width="22.140625" style="80" customWidth="1"/>
    <col min="5647" max="5888" width="9.140625" style="80"/>
    <col min="5889" max="5889" width="5.42578125" style="80" customWidth="1"/>
    <col min="5890" max="5890" width="7" style="80" customWidth="1"/>
    <col min="5891" max="5891" width="11.42578125" style="80" customWidth="1"/>
    <col min="5892" max="5892" width="11" style="80" customWidth="1"/>
    <col min="5893" max="5893" width="15" style="80" customWidth="1"/>
    <col min="5894" max="5895" width="12.7109375" style="80" customWidth="1"/>
    <col min="5896" max="5896" width="12.85546875" style="80" customWidth="1"/>
    <col min="5897" max="5897" width="11.42578125" style="80" customWidth="1"/>
    <col min="5898" max="5898" width="14.140625" style="80" customWidth="1"/>
    <col min="5899" max="5899" width="7.7109375" style="80" customWidth="1"/>
    <col min="5900" max="5900" width="9.140625" style="80"/>
    <col min="5901" max="5901" width="12.140625" style="80" customWidth="1"/>
    <col min="5902" max="5902" width="22.140625" style="80" customWidth="1"/>
    <col min="5903" max="6144" width="9.140625" style="80"/>
    <col min="6145" max="6145" width="5.42578125" style="80" customWidth="1"/>
    <col min="6146" max="6146" width="7" style="80" customWidth="1"/>
    <col min="6147" max="6147" width="11.42578125" style="80" customWidth="1"/>
    <col min="6148" max="6148" width="11" style="80" customWidth="1"/>
    <col min="6149" max="6149" width="15" style="80" customWidth="1"/>
    <col min="6150" max="6151" width="12.7109375" style="80" customWidth="1"/>
    <col min="6152" max="6152" width="12.85546875" style="80" customWidth="1"/>
    <col min="6153" max="6153" width="11.42578125" style="80" customWidth="1"/>
    <col min="6154" max="6154" width="14.140625" style="80" customWidth="1"/>
    <col min="6155" max="6155" width="7.7109375" style="80" customWidth="1"/>
    <col min="6156" max="6156" width="9.140625" style="80"/>
    <col min="6157" max="6157" width="12.140625" style="80" customWidth="1"/>
    <col min="6158" max="6158" width="22.140625" style="80" customWidth="1"/>
    <col min="6159" max="6400" width="9.140625" style="80"/>
    <col min="6401" max="6401" width="5.42578125" style="80" customWidth="1"/>
    <col min="6402" max="6402" width="7" style="80" customWidth="1"/>
    <col min="6403" max="6403" width="11.42578125" style="80" customWidth="1"/>
    <col min="6404" max="6404" width="11" style="80" customWidth="1"/>
    <col min="6405" max="6405" width="15" style="80" customWidth="1"/>
    <col min="6406" max="6407" width="12.7109375" style="80" customWidth="1"/>
    <col min="6408" max="6408" width="12.85546875" style="80" customWidth="1"/>
    <col min="6409" max="6409" width="11.42578125" style="80" customWidth="1"/>
    <col min="6410" max="6410" width="14.140625" style="80" customWidth="1"/>
    <col min="6411" max="6411" width="7.7109375" style="80" customWidth="1"/>
    <col min="6412" max="6412" width="9.140625" style="80"/>
    <col min="6413" max="6413" width="12.140625" style="80" customWidth="1"/>
    <col min="6414" max="6414" width="22.140625" style="80" customWidth="1"/>
    <col min="6415" max="6656" width="9.140625" style="80"/>
    <col min="6657" max="6657" width="5.42578125" style="80" customWidth="1"/>
    <col min="6658" max="6658" width="7" style="80" customWidth="1"/>
    <col min="6659" max="6659" width="11.42578125" style="80" customWidth="1"/>
    <col min="6660" max="6660" width="11" style="80" customWidth="1"/>
    <col min="6661" max="6661" width="15" style="80" customWidth="1"/>
    <col min="6662" max="6663" width="12.7109375" style="80" customWidth="1"/>
    <col min="6664" max="6664" width="12.85546875" style="80" customWidth="1"/>
    <col min="6665" max="6665" width="11.42578125" style="80" customWidth="1"/>
    <col min="6666" max="6666" width="14.140625" style="80" customWidth="1"/>
    <col min="6667" max="6667" width="7.7109375" style="80" customWidth="1"/>
    <col min="6668" max="6668" width="9.140625" style="80"/>
    <col min="6669" max="6669" width="12.140625" style="80" customWidth="1"/>
    <col min="6670" max="6670" width="22.140625" style="80" customWidth="1"/>
    <col min="6671" max="6912" width="9.140625" style="80"/>
    <col min="6913" max="6913" width="5.42578125" style="80" customWidth="1"/>
    <col min="6914" max="6914" width="7" style="80" customWidth="1"/>
    <col min="6915" max="6915" width="11.42578125" style="80" customWidth="1"/>
    <col min="6916" max="6916" width="11" style="80" customWidth="1"/>
    <col min="6917" max="6917" width="15" style="80" customWidth="1"/>
    <col min="6918" max="6919" width="12.7109375" style="80" customWidth="1"/>
    <col min="6920" max="6920" width="12.85546875" style="80" customWidth="1"/>
    <col min="6921" max="6921" width="11.42578125" style="80" customWidth="1"/>
    <col min="6922" max="6922" width="14.140625" style="80" customWidth="1"/>
    <col min="6923" max="6923" width="7.7109375" style="80" customWidth="1"/>
    <col min="6924" max="6924" width="9.140625" style="80"/>
    <col min="6925" max="6925" width="12.140625" style="80" customWidth="1"/>
    <col min="6926" max="6926" width="22.140625" style="80" customWidth="1"/>
    <col min="6927" max="7168" width="9.140625" style="80"/>
    <col min="7169" max="7169" width="5.42578125" style="80" customWidth="1"/>
    <col min="7170" max="7170" width="7" style="80" customWidth="1"/>
    <col min="7171" max="7171" width="11.42578125" style="80" customWidth="1"/>
    <col min="7172" max="7172" width="11" style="80" customWidth="1"/>
    <col min="7173" max="7173" width="15" style="80" customWidth="1"/>
    <col min="7174" max="7175" width="12.7109375" style="80" customWidth="1"/>
    <col min="7176" max="7176" width="12.85546875" style="80" customWidth="1"/>
    <col min="7177" max="7177" width="11.42578125" style="80" customWidth="1"/>
    <col min="7178" max="7178" width="14.140625" style="80" customWidth="1"/>
    <col min="7179" max="7179" width="7.7109375" style="80" customWidth="1"/>
    <col min="7180" max="7180" width="9.140625" style="80"/>
    <col min="7181" max="7181" width="12.140625" style="80" customWidth="1"/>
    <col min="7182" max="7182" width="22.140625" style="80" customWidth="1"/>
    <col min="7183" max="7424" width="9.140625" style="80"/>
    <col min="7425" max="7425" width="5.42578125" style="80" customWidth="1"/>
    <col min="7426" max="7426" width="7" style="80" customWidth="1"/>
    <col min="7427" max="7427" width="11.42578125" style="80" customWidth="1"/>
    <col min="7428" max="7428" width="11" style="80" customWidth="1"/>
    <col min="7429" max="7429" width="15" style="80" customWidth="1"/>
    <col min="7430" max="7431" width="12.7109375" style="80" customWidth="1"/>
    <col min="7432" max="7432" width="12.85546875" style="80" customWidth="1"/>
    <col min="7433" max="7433" width="11.42578125" style="80" customWidth="1"/>
    <col min="7434" max="7434" width="14.140625" style="80" customWidth="1"/>
    <col min="7435" max="7435" width="7.7109375" style="80" customWidth="1"/>
    <col min="7436" max="7436" width="9.140625" style="80"/>
    <col min="7437" max="7437" width="12.140625" style="80" customWidth="1"/>
    <col min="7438" max="7438" width="22.140625" style="80" customWidth="1"/>
    <col min="7439" max="7680" width="9.140625" style="80"/>
    <col min="7681" max="7681" width="5.42578125" style="80" customWidth="1"/>
    <col min="7682" max="7682" width="7" style="80" customWidth="1"/>
    <col min="7683" max="7683" width="11.42578125" style="80" customWidth="1"/>
    <col min="7684" max="7684" width="11" style="80" customWidth="1"/>
    <col min="7685" max="7685" width="15" style="80" customWidth="1"/>
    <col min="7686" max="7687" width="12.7109375" style="80" customWidth="1"/>
    <col min="7688" max="7688" width="12.85546875" style="80" customWidth="1"/>
    <col min="7689" max="7689" width="11.42578125" style="80" customWidth="1"/>
    <col min="7690" max="7690" width="14.140625" style="80" customWidth="1"/>
    <col min="7691" max="7691" width="7.7109375" style="80" customWidth="1"/>
    <col min="7692" max="7692" width="9.140625" style="80"/>
    <col min="7693" max="7693" width="12.140625" style="80" customWidth="1"/>
    <col min="7694" max="7694" width="22.140625" style="80" customWidth="1"/>
    <col min="7695" max="7936" width="9.140625" style="80"/>
    <col min="7937" max="7937" width="5.42578125" style="80" customWidth="1"/>
    <col min="7938" max="7938" width="7" style="80" customWidth="1"/>
    <col min="7939" max="7939" width="11.42578125" style="80" customWidth="1"/>
    <col min="7940" max="7940" width="11" style="80" customWidth="1"/>
    <col min="7941" max="7941" width="15" style="80" customWidth="1"/>
    <col min="7942" max="7943" width="12.7109375" style="80" customWidth="1"/>
    <col min="7944" max="7944" width="12.85546875" style="80" customWidth="1"/>
    <col min="7945" max="7945" width="11.42578125" style="80" customWidth="1"/>
    <col min="7946" max="7946" width="14.140625" style="80" customWidth="1"/>
    <col min="7947" max="7947" width="7.7109375" style="80" customWidth="1"/>
    <col min="7948" max="7948" width="9.140625" style="80"/>
    <col min="7949" max="7949" width="12.140625" style="80" customWidth="1"/>
    <col min="7950" max="7950" width="22.140625" style="80" customWidth="1"/>
    <col min="7951" max="8192" width="9.140625" style="80"/>
    <col min="8193" max="8193" width="5.42578125" style="80" customWidth="1"/>
    <col min="8194" max="8194" width="7" style="80" customWidth="1"/>
    <col min="8195" max="8195" width="11.42578125" style="80" customWidth="1"/>
    <col min="8196" max="8196" width="11" style="80" customWidth="1"/>
    <col min="8197" max="8197" width="15" style="80" customWidth="1"/>
    <col min="8198" max="8199" width="12.7109375" style="80" customWidth="1"/>
    <col min="8200" max="8200" width="12.85546875" style="80" customWidth="1"/>
    <col min="8201" max="8201" width="11.42578125" style="80" customWidth="1"/>
    <col min="8202" max="8202" width="14.140625" style="80" customWidth="1"/>
    <col min="8203" max="8203" width="7.7109375" style="80" customWidth="1"/>
    <col min="8204" max="8204" width="9.140625" style="80"/>
    <col min="8205" max="8205" width="12.140625" style="80" customWidth="1"/>
    <col min="8206" max="8206" width="22.140625" style="80" customWidth="1"/>
    <col min="8207" max="8448" width="9.140625" style="80"/>
    <col min="8449" max="8449" width="5.42578125" style="80" customWidth="1"/>
    <col min="8450" max="8450" width="7" style="80" customWidth="1"/>
    <col min="8451" max="8451" width="11.42578125" style="80" customWidth="1"/>
    <col min="8452" max="8452" width="11" style="80" customWidth="1"/>
    <col min="8453" max="8453" width="15" style="80" customWidth="1"/>
    <col min="8454" max="8455" width="12.7109375" style="80" customWidth="1"/>
    <col min="8456" max="8456" width="12.85546875" style="80" customWidth="1"/>
    <col min="8457" max="8457" width="11.42578125" style="80" customWidth="1"/>
    <col min="8458" max="8458" width="14.140625" style="80" customWidth="1"/>
    <col min="8459" max="8459" width="7.7109375" style="80" customWidth="1"/>
    <col min="8460" max="8460" width="9.140625" style="80"/>
    <col min="8461" max="8461" width="12.140625" style="80" customWidth="1"/>
    <col min="8462" max="8462" width="22.140625" style="80" customWidth="1"/>
    <col min="8463" max="8704" width="9.140625" style="80"/>
    <col min="8705" max="8705" width="5.42578125" style="80" customWidth="1"/>
    <col min="8706" max="8706" width="7" style="80" customWidth="1"/>
    <col min="8707" max="8707" width="11.42578125" style="80" customWidth="1"/>
    <col min="8708" max="8708" width="11" style="80" customWidth="1"/>
    <col min="8709" max="8709" width="15" style="80" customWidth="1"/>
    <col min="8710" max="8711" width="12.7109375" style="80" customWidth="1"/>
    <col min="8712" max="8712" width="12.85546875" style="80" customWidth="1"/>
    <col min="8713" max="8713" width="11.42578125" style="80" customWidth="1"/>
    <col min="8714" max="8714" width="14.140625" style="80" customWidth="1"/>
    <col min="8715" max="8715" width="7.7109375" style="80" customWidth="1"/>
    <col min="8716" max="8716" width="9.140625" style="80"/>
    <col min="8717" max="8717" width="12.140625" style="80" customWidth="1"/>
    <col min="8718" max="8718" width="22.140625" style="80" customWidth="1"/>
    <col min="8719" max="8960" width="9.140625" style="80"/>
    <col min="8961" max="8961" width="5.42578125" style="80" customWidth="1"/>
    <col min="8962" max="8962" width="7" style="80" customWidth="1"/>
    <col min="8963" max="8963" width="11.42578125" style="80" customWidth="1"/>
    <col min="8964" max="8964" width="11" style="80" customWidth="1"/>
    <col min="8965" max="8965" width="15" style="80" customWidth="1"/>
    <col min="8966" max="8967" width="12.7109375" style="80" customWidth="1"/>
    <col min="8968" max="8968" width="12.85546875" style="80" customWidth="1"/>
    <col min="8969" max="8969" width="11.42578125" style="80" customWidth="1"/>
    <col min="8970" max="8970" width="14.140625" style="80" customWidth="1"/>
    <col min="8971" max="8971" width="7.7109375" style="80" customWidth="1"/>
    <col min="8972" max="8972" width="9.140625" style="80"/>
    <col min="8973" max="8973" width="12.140625" style="80" customWidth="1"/>
    <col min="8974" max="8974" width="22.140625" style="80" customWidth="1"/>
    <col min="8975" max="9216" width="9.140625" style="80"/>
    <col min="9217" max="9217" width="5.42578125" style="80" customWidth="1"/>
    <col min="9218" max="9218" width="7" style="80" customWidth="1"/>
    <col min="9219" max="9219" width="11.42578125" style="80" customWidth="1"/>
    <col min="9220" max="9220" width="11" style="80" customWidth="1"/>
    <col min="9221" max="9221" width="15" style="80" customWidth="1"/>
    <col min="9222" max="9223" width="12.7109375" style="80" customWidth="1"/>
    <col min="9224" max="9224" width="12.85546875" style="80" customWidth="1"/>
    <col min="9225" max="9225" width="11.42578125" style="80" customWidth="1"/>
    <col min="9226" max="9226" width="14.140625" style="80" customWidth="1"/>
    <col min="9227" max="9227" width="7.7109375" style="80" customWidth="1"/>
    <col min="9228" max="9228" width="9.140625" style="80"/>
    <col min="9229" max="9229" width="12.140625" style="80" customWidth="1"/>
    <col min="9230" max="9230" width="22.140625" style="80" customWidth="1"/>
    <col min="9231" max="9472" width="9.140625" style="80"/>
    <col min="9473" max="9473" width="5.42578125" style="80" customWidth="1"/>
    <col min="9474" max="9474" width="7" style="80" customWidth="1"/>
    <col min="9475" max="9475" width="11.42578125" style="80" customWidth="1"/>
    <col min="9476" max="9476" width="11" style="80" customWidth="1"/>
    <col min="9477" max="9477" width="15" style="80" customWidth="1"/>
    <col min="9478" max="9479" width="12.7109375" style="80" customWidth="1"/>
    <col min="9480" max="9480" width="12.85546875" style="80" customWidth="1"/>
    <col min="9481" max="9481" width="11.42578125" style="80" customWidth="1"/>
    <col min="9482" max="9482" width="14.140625" style="80" customWidth="1"/>
    <col min="9483" max="9483" width="7.7109375" style="80" customWidth="1"/>
    <col min="9484" max="9484" width="9.140625" style="80"/>
    <col min="9485" max="9485" width="12.140625" style="80" customWidth="1"/>
    <col min="9486" max="9486" width="22.140625" style="80" customWidth="1"/>
    <col min="9487" max="9728" width="9.140625" style="80"/>
    <col min="9729" max="9729" width="5.42578125" style="80" customWidth="1"/>
    <col min="9730" max="9730" width="7" style="80" customWidth="1"/>
    <col min="9731" max="9731" width="11.42578125" style="80" customWidth="1"/>
    <col min="9732" max="9732" width="11" style="80" customWidth="1"/>
    <col min="9733" max="9733" width="15" style="80" customWidth="1"/>
    <col min="9734" max="9735" width="12.7109375" style="80" customWidth="1"/>
    <col min="9736" max="9736" width="12.85546875" style="80" customWidth="1"/>
    <col min="9737" max="9737" width="11.42578125" style="80" customWidth="1"/>
    <col min="9738" max="9738" width="14.140625" style="80" customWidth="1"/>
    <col min="9739" max="9739" width="7.7109375" style="80" customWidth="1"/>
    <col min="9740" max="9740" width="9.140625" style="80"/>
    <col min="9741" max="9741" width="12.140625" style="80" customWidth="1"/>
    <col min="9742" max="9742" width="22.140625" style="80" customWidth="1"/>
    <col min="9743" max="9984" width="9.140625" style="80"/>
    <col min="9985" max="9985" width="5.42578125" style="80" customWidth="1"/>
    <col min="9986" max="9986" width="7" style="80" customWidth="1"/>
    <col min="9987" max="9987" width="11.42578125" style="80" customWidth="1"/>
    <col min="9988" max="9988" width="11" style="80" customWidth="1"/>
    <col min="9989" max="9989" width="15" style="80" customWidth="1"/>
    <col min="9990" max="9991" width="12.7109375" style="80" customWidth="1"/>
    <col min="9992" max="9992" width="12.85546875" style="80" customWidth="1"/>
    <col min="9993" max="9993" width="11.42578125" style="80" customWidth="1"/>
    <col min="9994" max="9994" width="14.140625" style="80" customWidth="1"/>
    <col min="9995" max="9995" width="7.7109375" style="80" customWidth="1"/>
    <col min="9996" max="9996" width="9.140625" style="80"/>
    <col min="9997" max="9997" width="12.140625" style="80" customWidth="1"/>
    <col min="9998" max="9998" width="22.140625" style="80" customWidth="1"/>
    <col min="9999" max="10240" width="9.140625" style="80"/>
    <col min="10241" max="10241" width="5.42578125" style="80" customWidth="1"/>
    <col min="10242" max="10242" width="7" style="80" customWidth="1"/>
    <col min="10243" max="10243" width="11.42578125" style="80" customWidth="1"/>
    <col min="10244" max="10244" width="11" style="80" customWidth="1"/>
    <col min="10245" max="10245" width="15" style="80" customWidth="1"/>
    <col min="10246" max="10247" width="12.7109375" style="80" customWidth="1"/>
    <col min="10248" max="10248" width="12.85546875" style="80" customWidth="1"/>
    <col min="10249" max="10249" width="11.42578125" style="80" customWidth="1"/>
    <col min="10250" max="10250" width="14.140625" style="80" customWidth="1"/>
    <col min="10251" max="10251" width="7.7109375" style="80" customWidth="1"/>
    <col min="10252" max="10252" width="9.140625" style="80"/>
    <col min="10253" max="10253" width="12.140625" style="80" customWidth="1"/>
    <col min="10254" max="10254" width="22.140625" style="80" customWidth="1"/>
    <col min="10255" max="10496" width="9.140625" style="80"/>
    <col min="10497" max="10497" width="5.42578125" style="80" customWidth="1"/>
    <col min="10498" max="10498" width="7" style="80" customWidth="1"/>
    <col min="10499" max="10499" width="11.42578125" style="80" customWidth="1"/>
    <col min="10500" max="10500" width="11" style="80" customWidth="1"/>
    <col min="10501" max="10501" width="15" style="80" customWidth="1"/>
    <col min="10502" max="10503" width="12.7109375" style="80" customWidth="1"/>
    <col min="10504" max="10504" width="12.85546875" style="80" customWidth="1"/>
    <col min="10505" max="10505" width="11.42578125" style="80" customWidth="1"/>
    <col min="10506" max="10506" width="14.140625" style="80" customWidth="1"/>
    <col min="10507" max="10507" width="7.7109375" style="80" customWidth="1"/>
    <col min="10508" max="10508" width="9.140625" style="80"/>
    <col min="10509" max="10509" width="12.140625" style="80" customWidth="1"/>
    <col min="10510" max="10510" width="22.140625" style="80" customWidth="1"/>
    <col min="10511" max="10752" width="9.140625" style="80"/>
    <col min="10753" max="10753" width="5.42578125" style="80" customWidth="1"/>
    <col min="10754" max="10754" width="7" style="80" customWidth="1"/>
    <col min="10755" max="10755" width="11.42578125" style="80" customWidth="1"/>
    <col min="10756" max="10756" width="11" style="80" customWidth="1"/>
    <col min="10757" max="10757" width="15" style="80" customWidth="1"/>
    <col min="10758" max="10759" width="12.7109375" style="80" customWidth="1"/>
    <col min="10760" max="10760" width="12.85546875" style="80" customWidth="1"/>
    <col min="10761" max="10761" width="11.42578125" style="80" customWidth="1"/>
    <col min="10762" max="10762" width="14.140625" style="80" customWidth="1"/>
    <col min="10763" max="10763" width="7.7109375" style="80" customWidth="1"/>
    <col min="10764" max="10764" width="9.140625" style="80"/>
    <col min="10765" max="10765" width="12.140625" style="80" customWidth="1"/>
    <col min="10766" max="10766" width="22.140625" style="80" customWidth="1"/>
    <col min="10767" max="11008" width="9.140625" style="80"/>
    <col min="11009" max="11009" width="5.42578125" style="80" customWidth="1"/>
    <col min="11010" max="11010" width="7" style="80" customWidth="1"/>
    <col min="11011" max="11011" width="11.42578125" style="80" customWidth="1"/>
    <col min="11012" max="11012" width="11" style="80" customWidth="1"/>
    <col min="11013" max="11013" width="15" style="80" customWidth="1"/>
    <col min="11014" max="11015" width="12.7109375" style="80" customWidth="1"/>
    <col min="11016" max="11016" width="12.85546875" style="80" customWidth="1"/>
    <col min="11017" max="11017" width="11.42578125" style="80" customWidth="1"/>
    <col min="11018" max="11018" width="14.140625" style="80" customWidth="1"/>
    <col min="11019" max="11019" width="7.7109375" style="80" customWidth="1"/>
    <col min="11020" max="11020" width="9.140625" style="80"/>
    <col min="11021" max="11021" width="12.140625" style="80" customWidth="1"/>
    <col min="11022" max="11022" width="22.140625" style="80" customWidth="1"/>
    <col min="11023" max="11264" width="9.140625" style="80"/>
    <col min="11265" max="11265" width="5.42578125" style="80" customWidth="1"/>
    <col min="11266" max="11266" width="7" style="80" customWidth="1"/>
    <col min="11267" max="11267" width="11.42578125" style="80" customWidth="1"/>
    <col min="11268" max="11268" width="11" style="80" customWidth="1"/>
    <col min="11269" max="11269" width="15" style="80" customWidth="1"/>
    <col min="11270" max="11271" width="12.7109375" style="80" customWidth="1"/>
    <col min="11272" max="11272" width="12.85546875" style="80" customWidth="1"/>
    <col min="11273" max="11273" width="11.42578125" style="80" customWidth="1"/>
    <col min="11274" max="11274" width="14.140625" style="80" customWidth="1"/>
    <col min="11275" max="11275" width="7.7109375" style="80" customWidth="1"/>
    <col min="11276" max="11276" width="9.140625" style="80"/>
    <col min="11277" max="11277" width="12.140625" style="80" customWidth="1"/>
    <col min="11278" max="11278" width="22.140625" style="80" customWidth="1"/>
    <col min="11279" max="11520" width="9.140625" style="80"/>
    <col min="11521" max="11521" width="5.42578125" style="80" customWidth="1"/>
    <col min="11522" max="11522" width="7" style="80" customWidth="1"/>
    <col min="11523" max="11523" width="11.42578125" style="80" customWidth="1"/>
    <col min="11524" max="11524" width="11" style="80" customWidth="1"/>
    <col min="11525" max="11525" width="15" style="80" customWidth="1"/>
    <col min="11526" max="11527" width="12.7109375" style="80" customWidth="1"/>
    <col min="11528" max="11528" width="12.85546875" style="80" customWidth="1"/>
    <col min="11529" max="11529" width="11.42578125" style="80" customWidth="1"/>
    <col min="11530" max="11530" width="14.140625" style="80" customWidth="1"/>
    <col min="11531" max="11531" width="7.7109375" style="80" customWidth="1"/>
    <col min="11532" max="11532" width="9.140625" style="80"/>
    <col min="11533" max="11533" width="12.140625" style="80" customWidth="1"/>
    <col min="11534" max="11534" width="22.140625" style="80" customWidth="1"/>
    <col min="11535" max="11776" width="9.140625" style="80"/>
    <col min="11777" max="11777" width="5.42578125" style="80" customWidth="1"/>
    <col min="11778" max="11778" width="7" style="80" customWidth="1"/>
    <col min="11779" max="11779" width="11.42578125" style="80" customWidth="1"/>
    <col min="11780" max="11780" width="11" style="80" customWidth="1"/>
    <col min="11781" max="11781" width="15" style="80" customWidth="1"/>
    <col min="11782" max="11783" width="12.7109375" style="80" customWidth="1"/>
    <col min="11784" max="11784" width="12.85546875" style="80" customWidth="1"/>
    <col min="11785" max="11785" width="11.42578125" style="80" customWidth="1"/>
    <col min="11786" max="11786" width="14.140625" style="80" customWidth="1"/>
    <col min="11787" max="11787" width="7.7109375" style="80" customWidth="1"/>
    <col min="11788" max="11788" width="9.140625" style="80"/>
    <col min="11789" max="11789" width="12.140625" style="80" customWidth="1"/>
    <col min="11790" max="11790" width="22.140625" style="80" customWidth="1"/>
    <col min="11791" max="12032" width="9.140625" style="80"/>
    <col min="12033" max="12033" width="5.42578125" style="80" customWidth="1"/>
    <col min="12034" max="12034" width="7" style="80" customWidth="1"/>
    <col min="12035" max="12035" width="11.42578125" style="80" customWidth="1"/>
    <col min="12036" max="12036" width="11" style="80" customWidth="1"/>
    <col min="12037" max="12037" width="15" style="80" customWidth="1"/>
    <col min="12038" max="12039" width="12.7109375" style="80" customWidth="1"/>
    <col min="12040" max="12040" width="12.85546875" style="80" customWidth="1"/>
    <col min="12041" max="12041" width="11.42578125" style="80" customWidth="1"/>
    <col min="12042" max="12042" width="14.140625" style="80" customWidth="1"/>
    <col min="12043" max="12043" width="7.7109375" style="80" customWidth="1"/>
    <col min="12044" max="12044" width="9.140625" style="80"/>
    <col min="12045" max="12045" width="12.140625" style="80" customWidth="1"/>
    <col min="12046" max="12046" width="22.140625" style="80" customWidth="1"/>
    <col min="12047" max="12288" width="9.140625" style="80"/>
    <col min="12289" max="12289" width="5.42578125" style="80" customWidth="1"/>
    <col min="12290" max="12290" width="7" style="80" customWidth="1"/>
    <col min="12291" max="12291" width="11.42578125" style="80" customWidth="1"/>
    <col min="12292" max="12292" width="11" style="80" customWidth="1"/>
    <col min="12293" max="12293" width="15" style="80" customWidth="1"/>
    <col min="12294" max="12295" width="12.7109375" style="80" customWidth="1"/>
    <col min="12296" max="12296" width="12.85546875" style="80" customWidth="1"/>
    <col min="12297" max="12297" width="11.42578125" style="80" customWidth="1"/>
    <col min="12298" max="12298" width="14.140625" style="80" customWidth="1"/>
    <col min="12299" max="12299" width="7.7109375" style="80" customWidth="1"/>
    <col min="12300" max="12300" width="9.140625" style="80"/>
    <col min="12301" max="12301" width="12.140625" style="80" customWidth="1"/>
    <col min="12302" max="12302" width="22.140625" style="80" customWidth="1"/>
    <col min="12303" max="12544" width="9.140625" style="80"/>
    <col min="12545" max="12545" width="5.42578125" style="80" customWidth="1"/>
    <col min="12546" max="12546" width="7" style="80" customWidth="1"/>
    <col min="12547" max="12547" width="11.42578125" style="80" customWidth="1"/>
    <col min="12548" max="12548" width="11" style="80" customWidth="1"/>
    <col min="12549" max="12549" width="15" style="80" customWidth="1"/>
    <col min="12550" max="12551" width="12.7109375" style="80" customWidth="1"/>
    <col min="12552" max="12552" width="12.85546875" style="80" customWidth="1"/>
    <col min="12553" max="12553" width="11.42578125" style="80" customWidth="1"/>
    <col min="12554" max="12554" width="14.140625" style="80" customWidth="1"/>
    <col min="12555" max="12555" width="7.7109375" style="80" customWidth="1"/>
    <col min="12556" max="12556" width="9.140625" style="80"/>
    <col min="12557" max="12557" width="12.140625" style="80" customWidth="1"/>
    <col min="12558" max="12558" width="22.140625" style="80" customWidth="1"/>
    <col min="12559" max="12800" width="9.140625" style="80"/>
    <col min="12801" max="12801" width="5.42578125" style="80" customWidth="1"/>
    <col min="12802" max="12802" width="7" style="80" customWidth="1"/>
    <col min="12803" max="12803" width="11.42578125" style="80" customWidth="1"/>
    <col min="12804" max="12804" width="11" style="80" customWidth="1"/>
    <col min="12805" max="12805" width="15" style="80" customWidth="1"/>
    <col min="12806" max="12807" width="12.7109375" style="80" customWidth="1"/>
    <col min="12808" max="12808" width="12.85546875" style="80" customWidth="1"/>
    <col min="12809" max="12809" width="11.42578125" style="80" customWidth="1"/>
    <col min="12810" max="12810" width="14.140625" style="80" customWidth="1"/>
    <col min="12811" max="12811" width="7.7109375" style="80" customWidth="1"/>
    <col min="12812" max="12812" width="9.140625" style="80"/>
    <col min="12813" max="12813" width="12.140625" style="80" customWidth="1"/>
    <col min="12814" max="12814" width="22.140625" style="80" customWidth="1"/>
    <col min="12815" max="13056" width="9.140625" style="80"/>
    <col min="13057" max="13057" width="5.42578125" style="80" customWidth="1"/>
    <col min="13058" max="13058" width="7" style="80" customWidth="1"/>
    <col min="13059" max="13059" width="11.42578125" style="80" customWidth="1"/>
    <col min="13060" max="13060" width="11" style="80" customWidth="1"/>
    <col min="13061" max="13061" width="15" style="80" customWidth="1"/>
    <col min="13062" max="13063" width="12.7109375" style="80" customWidth="1"/>
    <col min="13064" max="13064" width="12.85546875" style="80" customWidth="1"/>
    <col min="13065" max="13065" width="11.42578125" style="80" customWidth="1"/>
    <col min="13066" max="13066" width="14.140625" style="80" customWidth="1"/>
    <col min="13067" max="13067" width="7.7109375" style="80" customWidth="1"/>
    <col min="13068" max="13068" width="9.140625" style="80"/>
    <col min="13069" max="13069" width="12.140625" style="80" customWidth="1"/>
    <col min="13070" max="13070" width="22.140625" style="80" customWidth="1"/>
    <col min="13071" max="13312" width="9.140625" style="80"/>
    <col min="13313" max="13313" width="5.42578125" style="80" customWidth="1"/>
    <col min="13314" max="13314" width="7" style="80" customWidth="1"/>
    <col min="13315" max="13315" width="11.42578125" style="80" customWidth="1"/>
    <col min="13316" max="13316" width="11" style="80" customWidth="1"/>
    <col min="13317" max="13317" width="15" style="80" customWidth="1"/>
    <col min="13318" max="13319" width="12.7109375" style="80" customWidth="1"/>
    <col min="13320" max="13320" width="12.85546875" style="80" customWidth="1"/>
    <col min="13321" max="13321" width="11.42578125" style="80" customWidth="1"/>
    <col min="13322" max="13322" width="14.140625" style="80" customWidth="1"/>
    <col min="13323" max="13323" width="7.7109375" style="80" customWidth="1"/>
    <col min="13324" max="13324" width="9.140625" style="80"/>
    <col min="13325" max="13325" width="12.140625" style="80" customWidth="1"/>
    <col min="13326" max="13326" width="22.140625" style="80" customWidth="1"/>
    <col min="13327" max="13568" width="9.140625" style="80"/>
    <col min="13569" max="13569" width="5.42578125" style="80" customWidth="1"/>
    <col min="13570" max="13570" width="7" style="80" customWidth="1"/>
    <col min="13571" max="13571" width="11.42578125" style="80" customWidth="1"/>
    <col min="13572" max="13572" width="11" style="80" customWidth="1"/>
    <col min="13573" max="13573" width="15" style="80" customWidth="1"/>
    <col min="13574" max="13575" width="12.7109375" style="80" customWidth="1"/>
    <col min="13576" max="13576" width="12.85546875" style="80" customWidth="1"/>
    <col min="13577" max="13577" width="11.42578125" style="80" customWidth="1"/>
    <col min="13578" max="13578" width="14.140625" style="80" customWidth="1"/>
    <col min="13579" max="13579" width="7.7109375" style="80" customWidth="1"/>
    <col min="13580" max="13580" width="9.140625" style="80"/>
    <col min="13581" max="13581" width="12.140625" style="80" customWidth="1"/>
    <col min="13582" max="13582" width="22.140625" style="80" customWidth="1"/>
    <col min="13583" max="13824" width="9.140625" style="80"/>
    <col min="13825" max="13825" width="5.42578125" style="80" customWidth="1"/>
    <col min="13826" max="13826" width="7" style="80" customWidth="1"/>
    <col min="13827" max="13827" width="11.42578125" style="80" customWidth="1"/>
    <col min="13828" max="13828" width="11" style="80" customWidth="1"/>
    <col min="13829" max="13829" width="15" style="80" customWidth="1"/>
    <col min="13830" max="13831" width="12.7109375" style="80" customWidth="1"/>
    <col min="13832" max="13832" width="12.85546875" style="80" customWidth="1"/>
    <col min="13833" max="13833" width="11.42578125" style="80" customWidth="1"/>
    <col min="13834" max="13834" width="14.140625" style="80" customWidth="1"/>
    <col min="13835" max="13835" width="7.7109375" style="80" customWidth="1"/>
    <col min="13836" max="13836" width="9.140625" style="80"/>
    <col min="13837" max="13837" width="12.140625" style="80" customWidth="1"/>
    <col min="13838" max="13838" width="22.140625" style="80" customWidth="1"/>
    <col min="13839" max="14080" width="9.140625" style="80"/>
    <col min="14081" max="14081" width="5.42578125" style="80" customWidth="1"/>
    <col min="14082" max="14082" width="7" style="80" customWidth="1"/>
    <col min="14083" max="14083" width="11.42578125" style="80" customWidth="1"/>
    <col min="14084" max="14084" width="11" style="80" customWidth="1"/>
    <col min="14085" max="14085" width="15" style="80" customWidth="1"/>
    <col min="14086" max="14087" width="12.7109375" style="80" customWidth="1"/>
    <col min="14088" max="14088" width="12.85546875" style="80" customWidth="1"/>
    <col min="14089" max="14089" width="11.42578125" style="80" customWidth="1"/>
    <col min="14090" max="14090" width="14.140625" style="80" customWidth="1"/>
    <col min="14091" max="14091" width="7.7109375" style="80" customWidth="1"/>
    <col min="14092" max="14092" width="9.140625" style="80"/>
    <col min="14093" max="14093" width="12.140625" style="80" customWidth="1"/>
    <col min="14094" max="14094" width="22.140625" style="80" customWidth="1"/>
    <col min="14095" max="14336" width="9.140625" style="80"/>
    <col min="14337" max="14337" width="5.42578125" style="80" customWidth="1"/>
    <col min="14338" max="14338" width="7" style="80" customWidth="1"/>
    <col min="14339" max="14339" width="11.42578125" style="80" customWidth="1"/>
    <col min="14340" max="14340" width="11" style="80" customWidth="1"/>
    <col min="14341" max="14341" width="15" style="80" customWidth="1"/>
    <col min="14342" max="14343" width="12.7109375" style="80" customWidth="1"/>
    <col min="14344" max="14344" width="12.85546875" style="80" customWidth="1"/>
    <col min="14345" max="14345" width="11.42578125" style="80" customWidth="1"/>
    <col min="14346" max="14346" width="14.140625" style="80" customWidth="1"/>
    <col min="14347" max="14347" width="7.7109375" style="80" customWidth="1"/>
    <col min="14348" max="14348" width="9.140625" style="80"/>
    <col min="14349" max="14349" width="12.140625" style="80" customWidth="1"/>
    <col min="14350" max="14350" width="22.140625" style="80" customWidth="1"/>
    <col min="14351" max="14592" width="9.140625" style="80"/>
    <col min="14593" max="14593" width="5.42578125" style="80" customWidth="1"/>
    <col min="14594" max="14594" width="7" style="80" customWidth="1"/>
    <col min="14595" max="14595" width="11.42578125" style="80" customWidth="1"/>
    <col min="14596" max="14596" width="11" style="80" customWidth="1"/>
    <col min="14597" max="14597" width="15" style="80" customWidth="1"/>
    <col min="14598" max="14599" width="12.7109375" style="80" customWidth="1"/>
    <col min="14600" max="14600" width="12.85546875" style="80" customWidth="1"/>
    <col min="14601" max="14601" width="11.42578125" style="80" customWidth="1"/>
    <col min="14602" max="14602" width="14.140625" style="80" customWidth="1"/>
    <col min="14603" max="14603" width="7.7109375" style="80" customWidth="1"/>
    <col min="14604" max="14604" width="9.140625" style="80"/>
    <col min="14605" max="14605" width="12.140625" style="80" customWidth="1"/>
    <col min="14606" max="14606" width="22.140625" style="80" customWidth="1"/>
    <col min="14607" max="14848" width="9.140625" style="80"/>
    <col min="14849" max="14849" width="5.42578125" style="80" customWidth="1"/>
    <col min="14850" max="14850" width="7" style="80" customWidth="1"/>
    <col min="14851" max="14851" width="11.42578125" style="80" customWidth="1"/>
    <col min="14852" max="14852" width="11" style="80" customWidth="1"/>
    <col min="14853" max="14853" width="15" style="80" customWidth="1"/>
    <col min="14854" max="14855" width="12.7109375" style="80" customWidth="1"/>
    <col min="14856" max="14856" width="12.85546875" style="80" customWidth="1"/>
    <col min="14857" max="14857" width="11.42578125" style="80" customWidth="1"/>
    <col min="14858" max="14858" width="14.140625" style="80" customWidth="1"/>
    <col min="14859" max="14859" width="7.7109375" style="80" customWidth="1"/>
    <col min="14860" max="14860" width="9.140625" style="80"/>
    <col min="14861" max="14861" width="12.140625" style="80" customWidth="1"/>
    <col min="14862" max="14862" width="22.140625" style="80" customWidth="1"/>
    <col min="14863" max="15104" width="9.140625" style="80"/>
    <col min="15105" max="15105" width="5.42578125" style="80" customWidth="1"/>
    <col min="15106" max="15106" width="7" style="80" customWidth="1"/>
    <col min="15107" max="15107" width="11.42578125" style="80" customWidth="1"/>
    <col min="15108" max="15108" width="11" style="80" customWidth="1"/>
    <col min="15109" max="15109" width="15" style="80" customWidth="1"/>
    <col min="15110" max="15111" width="12.7109375" style="80" customWidth="1"/>
    <col min="15112" max="15112" width="12.85546875" style="80" customWidth="1"/>
    <col min="15113" max="15113" width="11.42578125" style="80" customWidth="1"/>
    <col min="15114" max="15114" width="14.140625" style="80" customWidth="1"/>
    <col min="15115" max="15115" width="7.7109375" style="80" customWidth="1"/>
    <col min="15116" max="15116" width="9.140625" style="80"/>
    <col min="15117" max="15117" width="12.140625" style="80" customWidth="1"/>
    <col min="15118" max="15118" width="22.140625" style="80" customWidth="1"/>
    <col min="15119" max="15360" width="9.140625" style="80"/>
    <col min="15361" max="15361" width="5.42578125" style="80" customWidth="1"/>
    <col min="15362" max="15362" width="7" style="80" customWidth="1"/>
    <col min="15363" max="15363" width="11.42578125" style="80" customWidth="1"/>
    <col min="15364" max="15364" width="11" style="80" customWidth="1"/>
    <col min="15365" max="15365" width="15" style="80" customWidth="1"/>
    <col min="15366" max="15367" width="12.7109375" style="80" customWidth="1"/>
    <col min="15368" max="15368" width="12.85546875" style="80" customWidth="1"/>
    <col min="15369" max="15369" width="11.42578125" style="80" customWidth="1"/>
    <col min="15370" max="15370" width="14.140625" style="80" customWidth="1"/>
    <col min="15371" max="15371" width="7.7109375" style="80" customWidth="1"/>
    <col min="15372" max="15372" width="9.140625" style="80"/>
    <col min="15373" max="15373" width="12.140625" style="80" customWidth="1"/>
    <col min="15374" max="15374" width="22.140625" style="80" customWidth="1"/>
    <col min="15375" max="15616" width="9.140625" style="80"/>
    <col min="15617" max="15617" width="5.42578125" style="80" customWidth="1"/>
    <col min="15618" max="15618" width="7" style="80" customWidth="1"/>
    <col min="15619" max="15619" width="11.42578125" style="80" customWidth="1"/>
    <col min="15620" max="15620" width="11" style="80" customWidth="1"/>
    <col min="15621" max="15621" width="15" style="80" customWidth="1"/>
    <col min="15622" max="15623" width="12.7109375" style="80" customWidth="1"/>
    <col min="15624" max="15624" width="12.85546875" style="80" customWidth="1"/>
    <col min="15625" max="15625" width="11.42578125" style="80" customWidth="1"/>
    <col min="15626" max="15626" width="14.140625" style="80" customWidth="1"/>
    <col min="15627" max="15627" width="7.7109375" style="80" customWidth="1"/>
    <col min="15628" max="15628" width="9.140625" style="80"/>
    <col min="15629" max="15629" width="12.140625" style="80" customWidth="1"/>
    <col min="15630" max="15630" width="22.140625" style="80" customWidth="1"/>
    <col min="15631" max="15872" width="9.140625" style="80"/>
    <col min="15873" max="15873" width="5.42578125" style="80" customWidth="1"/>
    <col min="15874" max="15874" width="7" style="80" customWidth="1"/>
    <col min="15875" max="15875" width="11.42578125" style="80" customWidth="1"/>
    <col min="15876" max="15876" width="11" style="80" customWidth="1"/>
    <col min="15877" max="15877" width="15" style="80" customWidth="1"/>
    <col min="15878" max="15879" width="12.7109375" style="80" customWidth="1"/>
    <col min="15880" max="15880" width="12.85546875" style="80" customWidth="1"/>
    <col min="15881" max="15881" width="11.42578125" style="80" customWidth="1"/>
    <col min="15882" max="15882" width="14.140625" style="80" customWidth="1"/>
    <col min="15883" max="15883" width="7.7109375" style="80" customWidth="1"/>
    <col min="15884" max="15884" width="9.140625" style="80"/>
    <col min="15885" max="15885" width="12.140625" style="80" customWidth="1"/>
    <col min="15886" max="15886" width="22.140625" style="80" customWidth="1"/>
    <col min="15887" max="16128" width="9.140625" style="80"/>
    <col min="16129" max="16129" width="5.42578125" style="80" customWidth="1"/>
    <col min="16130" max="16130" width="7" style="80" customWidth="1"/>
    <col min="16131" max="16131" width="11.42578125" style="80" customWidth="1"/>
    <col min="16132" max="16132" width="11" style="80" customWidth="1"/>
    <col min="16133" max="16133" width="15" style="80" customWidth="1"/>
    <col min="16134" max="16135" width="12.7109375" style="80" customWidth="1"/>
    <col min="16136" max="16136" width="12.85546875" style="80" customWidth="1"/>
    <col min="16137" max="16137" width="11.42578125" style="80" customWidth="1"/>
    <col min="16138" max="16138" width="14.140625" style="80" customWidth="1"/>
    <col min="16139" max="16139" width="7.7109375" style="80" customWidth="1"/>
    <col min="16140" max="16140" width="9.140625" style="80"/>
    <col min="16141" max="16141" width="12.140625" style="80" customWidth="1"/>
    <col min="16142" max="16142" width="22.140625" style="80" customWidth="1"/>
    <col min="16143" max="16384" width="9.140625" style="80"/>
  </cols>
  <sheetData>
    <row r="1" spans="2:18" ht="14.25" customHeight="1" thickBot="1" x14ac:dyDescent="0.25"/>
    <row r="2" spans="2:18" ht="13.5" thickBot="1" x14ac:dyDescent="0.25">
      <c r="B2" s="90" t="s">
        <v>53</v>
      </c>
      <c r="C2" s="91" t="s">
        <v>96</v>
      </c>
      <c r="D2" s="207" t="s">
        <v>171</v>
      </c>
      <c r="E2" s="207"/>
      <c r="F2" s="207" t="s">
        <v>172</v>
      </c>
      <c r="G2" s="207"/>
      <c r="H2" s="207" t="s">
        <v>173</v>
      </c>
      <c r="I2" s="207"/>
      <c r="J2" s="207" t="s">
        <v>174</v>
      </c>
      <c r="K2" s="207"/>
      <c r="L2" s="207" t="s">
        <v>182</v>
      </c>
      <c r="M2" s="208"/>
      <c r="N2" s="151" t="s">
        <v>175</v>
      </c>
    </row>
    <row r="3" spans="2:18" ht="16.5" customHeight="1" x14ac:dyDescent="0.2">
      <c r="B3" s="181" t="s">
        <v>51</v>
      </c>
      <c r="C3" s="122" t="s">
        <v>97</v>
      </c>
      <c r="D3" s="209" t="s">
        <v>250</v>
      </c>
      <c r="E3" s="211"/>
      <c r="F3" s="212" t="s">
        <v>254</v>
      </c>
      <c r="G3" s="213"/>
      <c r="H3" s="212" t="s">
        <v>204</v>
      </c>
      <c r="I3" s="213"/>
      <c r="J3" s="209" t="s">
        <v>256</v>
      </c>
      <c r="K3" s="211"/>
      <c r="L3" s="209" t="s">
        <v>269</v>
      </c>
      <c r="M3" s="210"/>
      <c r="N3" s="81" t="s">
        <v>251</v>
      </c>
    </row>
    <row r="4" spans="2:18" ht="15.75" customHeight="1" x14ac:dyDescent="0.2">
      <c r="B4" s="182"/>
      <c r="C4" s="123"/>
      <c r="D4" s="194" t="s">
        <v>243</v>
      </c>
      <c r="E4" s="195"/>
      <c r="F4" s="194" t="s">
        <v>244</v>
      </c>
      <c r="G4" s="195"/>
      <c r="H4" s="194" t="s">
        <v>253</v>
      </c>
      <c r="I4" s="195"/>
      <c r="J4" s="194" t="s">
        <v>99</v>
      </c>
      <c r="K4" s="195"/>
      <c r="L4" s="194" t="s">
        <v>272</v>
      </c>
      <c r="M4" s="195"/>
      <c r="N4" s="82" t="s">
        <v>244</v>
      </c>
    </row>
    <row r="5" spans="2:18" ht="15.75" customHeight="1" x14ac:dyDescent="0.2">
      <c r="B5" s="182"/>
      <c r="C5" s="143" t="s">
        <v>100</v>
      </c>
      <c r="D5" s="199" t="s">
        <v>11</v>
      </c>
      <c r="E5" s="214"/>
      <c r="F5" s="199" t="s">
        <v>57</v>
      </c>
      <c r="G5" s="214"/>
      <c r="H5" s="215" t="s">
        <v>207</v>
      </c>
      <c r="I5" s="215"/>
      <c r="J5" s="215" t="s">
        <v>91</v>
      </c>
      <c r="K5" s="215"/>
      <c r="L5" s="199" t="s">
        <v>247</v>
      </c>
      <c r="M5" s="200"/>
      <c r="N5" s="88" t="s">
        <v>74</v>
      </c>
    </row>
    <row r="6" spans="2:18" ht="17.25" customHeight="1" x14ac:dyDescent="0.2">
      <c r="B6" s="182"/>
      <c r="C6" s="124"/>
      <c r="D6" s="186" t="s">
        <v>227</v>
      </c>
      <c r="E6" s="187"/>
      <c r="F6" s="188" t="s">
        <v>184</v>
      </c>
      <c r="G6" s="189"/>
      <c r="H6" s="225" t="s">
        <v>192</v>
      </c>
      <c r="I6" s="226"/>
      <c r="J6" s="157"/>
      <c r="K6" s="158"/>
      <c r="L6" s="225"/>
      <c r="M6" s="226"/>
      <c r="N6" s="88"/>
    </row>
    <row r="7" spans="2:18" ht="17.25" customHeight="1" thickBot="1" x14ac:dyDescent="0.25">
      <c r="B7" s="183"/>
      <c r="C7" s="144"/>
      <c r="D7" s="184" t="s">
        <v>240</v>
      </c>
      <c r="E7" s="185"/>
      <c r="F7" s="184" t="s">
        <v>240</v>
      </c>
      <c r="G7" s="185"/>
      <c r="H7" s="184" t="s">
        <v>241</v>
      </c>
      <c r="I7" s="185"/>
      <c r="J7" s="184" t="s">
        <v>240</v>
      </c>
      <c r="K7" s="185"/>
      <c r="L7" s="184" t="s">
        <v>240</v>
      </c>
      <c r="M7" s="185"/>
      <c r="N7" s="145" t="s">
        <v>240</v>
      </c>
    </row>
    <row r="8" spans="2:18" ht="27.75" customHeight="1" x14ac:dyDescent="0.2">
      <c r="B8" s="201" t="s">
        <v>50</v>
      </c>
      <c r="C8" s="122" t="s">
        <v>101</v>
      </c>
      <c r="D8" s="204" t="s">
        <v>237</v>
      </c>
      <c r="E8" s="205"/>
      <c r="F8" s="204" t="s">
        <v>129</v>
      </c>
      <c r="G8" s="204"/>
      <c r="H8" s="206" t="s">
        <v>264</v>
      </c>
      <c r="I8" s="206"/>
      <c r="J8" s="204" t="s">
        <v>88</v>
      </c>
      <c r="K8" s="204"/>
      <c r="L8" s="204" t="s">
        <v>265</v>
      </c>
      <c r="M8" s="204"/>
      <c r="N8" s="127" t="s">
        <v>248</v>
      </c>
      <c r="O8" s="118"/>
    </row>
    <row r="9" spans="2:18" ht="27.75" customHeight="1" x14ac:dyDescent="0.2">
      <c r="B9" s="202"/>
      <c r="C9" s="123" t="s">
        <v>102</v>
      </c>
      <c r="D9" s="196" t="s">
        <v>196</v>
      </c>
      <c r="E9" s="196"/>
      <c r="F9" s="196" t="s">
        <v>119</v>
      </c>
      <c r="G9" s="196"/>
      <c r="H9" s="218" t="s">
        <v>152</v>
      </c>
      <c r="I9" s="219"/>
      <c r="J9" s="196" t="s">
        <v>209</v>
      </c>
      <c r="K9" s="196"/>
      <c r="L9" s="218" t="s">
        <v>194</v>
      </c>
      <c r="M9" s="219"/>
      <c r="N9" s="119" t="s">
        <v>198</v>
      </c>
      <c r="P9" s="224"/>
      <c r="Q9" s="224"/>
      <c r="R9" s="224"/>
    </row>
    <row r="10" spans="2:18" s="153" customFormat="1" ht="19.5" customHeight="1" x14ac:dyDescent="0.25">
      <c r="B10" s="202"/>
      <c r="C10" s="123" t="s">
        <v>103</v>
      </c>
      <c r="D10" s="220" t="s">
        <v>245</v>
      </c>
      <c r="E10" s="221"/>
      <c r="F10" s="193" t="s">
        <v>195</v>
      </c>
      <c r="G10" s="196"/>
      <c r="H10" s="196" t="s">
        <v>205</v>
      </c>
      <c r="I10" s="196"/>
      <c r="J10" s="196" t="s">
        <v>158</v>
      </c>
      <c r="K10" s="196"/>
      <c r="L10" s="193" t="s">
        <v>199</v>
      </c>
      <c r="M10" s="192"/>
      <c r="N10" s="130"/>
    </row>
    <row r="11" spans="2:18" ht="23.25" customHeight="1" x14ac:dyDescent="0.2">
      <c r="B11" s="202"/>
      <c r="C11" s="123" t="s">
        <v>104</v>
      </c>
      <c r="D11" s="216"/>
      <c r="E11" s="216"/>
      <c r="F11" s="197" t="s">
        <v>261</v>
      </c>
      <c r="G11" s="217"/>
      <c r="H11" s="196"/>
      <c r="I11" s="196"/>
      <c r="J11" s="196" t="s">
        <v>214</v>
      </c>
      <c r="K11" s="196"/>
      <c r="L11" s="197"/>
      <c r="M11" s="198"/>
      <c r="N11" s="82"/>
    </row>
    <row r="12" spans="2:18" ht="19.5" customHeight="1" x14ac:dyDescent="0.2">
      <c r="B12" s="202"/>
      <c r="C12" s="123" t="s">
        <v>105</v>
      </c>
      <c r="D12" s="222" t="s">
        <v>68</v>
      </c>
      <c r="E12" s="222"/>
      <c r="F12" s="193"/>
      <c r="G12" s="196"/>
      <c r="H12" s="192"/>
      <c r="I12" s="193"/>
      <c r="J12" s="192"/>
      <c r="K12" s="193"/>
      <c r="L12" s="193" t="s">
        <v>106</v>
      </c>
      <c r="M12" s="192"/>
      <c r="N12" s="85"/>
    </row>
    <row r="13" spans="2:18" ht="16.5" customHeight="1" x14ac:dyDescent="0.2">
      <c r="B13" s="202"/>
      <c r="C13" s="123" t="s">
        <v>107</v>
      </c>
      <c r="D13" s="196"/>
      <c r="E13" s="196"/>
      <c r="F13" s="196"/>
      <c r="G13" s="196"/>
      <c r="H13" s="222" t="s">
        <v>217</v>
      </c>
      <c r="I13" s="222"/>
      <c r="J13" s="223"/>
      <c r="K13" s="223"/>
      <c r="L13" s="196"/>
      <c r="M13" s="192"/>
      <c r="N13" s="85" t="s">
        <v>200</v>
      </c>
    </row>
    <row r="14" spans="2:18" ht="20.25" customHeight="1" x14ac:dyDescent="0.2">
      <c r="B14" s="203"/>
      <c r="C14" s="124" t="s">
        <v>100</v>
      </c>
      <c r="D14" s="215" t="s">
        <v>259</v>
      </c>
      <c r="E14" s="215"/>
      <c r="F14" s="215" t="s">
        <v>162</v>
      </c>
      <c r="G14" s="215"/>
      <c r="H14" s="196" t="s">
        <v>202</v>
      </c>
      <c r="I14" s="196"/>
      <c r="J14" s="215" t="s">
        <v>162</v>
      </c>
      <c r="K14" s="215"/>
      <c r="L14" s="215" t="s">
        <v>201</v>
      </c>
      <c r="M14" s="215"/>
      <c r="N14" s="149" t="s">
        <v>259</v>
      </c>
    </row>
    <row r="15" spans="2:18" ht="15.75" customHeight="1" thickBot="1" x14ac:dyDescent="0.25">
      <c r="B15" s="126"/>
      <c r="C15" s="124" t="s">
        <v>193</v>
      </c>
      <c r="D15" s="225"/>
      <c r="E15" s="226"/>
      <c r="F15" s="188"/>
      <c r="G15" s="189"/>
      <c r="J15" s="227"/>
      <c r="K15" s="228"/>
      <c r="L15" s="190"/>
      <c r="M15" s="191"/>
      <c r="N15" s="149" t="s">
        <v>190</v>
      </c>
    </row>
    <row r="16" spans="2:18" ht="17.25" customHeight="1" thickBot="1" x14ac:dyDescent="0.25">
      <c r="B16" s="136" t="s">
        <v>52</v>
      </c>
      <c r="C16" s="150" t="s">
        <v>96</v>
      </c>
      <c r="D16" s="207" t="s">
        <v>176</v>
      </c>
      <c r="E16" s="207"/>
      <c r="F16" s="207" t="s">
        <v>177</v>
      </c>
      <c r="G16" s="207"/>
      <c r="H16" s="207" t="s">
        <v>178</v>
      </c>
      <c r="I16" s="207"/>
      <c r="J16" s="207" t="s">
        <v>179</v>
      </c>
      <c r="K16" s="207"/>
      <c r="L16" s="207" t="s">
        <v>180</v>
      </c>
      <c r="M16" s="208"/>
      <c r="N16" s="152" t="s">
        <v>181</v>
      </c>
    </row>
    <row r="17" spans="2:17" ht="20.25" customHeight="1" x14ac:dyDescent="0.2">
      <c r="B17" s="181" t="s">
        <v>51</v>
      </c>
      <c r="C17" s="122" t="s">
        <v>97</v>
      </c>
      <c r="D17" s="209" t="s">
        <v>270</v>
      </c>
      <c r="E17" s="211"/>
      <c r="F17" s="209" t="s">
        <v>250</v>
      </c>
      <c r="G17" s="211"/>
      <c r="H17" s="209" t="s">
        <v>121</v>
      </c>
      <c r="I17" s="211"/>
      <c r="J17" s="209" t="s">
        <v>205</v>
      </c>
      <c r="K17" s="210"/>
      <c r="L17" s="209" t="s">
        <v>233</v>
      </c>
      <c r="M17" s="210"/>
      <c r="N17" s="86" t="s">
        <v>255</v>
      </c>
    </row>
    <row r="18" spans="2:17" ht="14.25" customHeight="1" x14ac:dyDescent="0.2">
      <c r="B18" s="182"/>
      <c r="C18" s="123"/>
      <c r="D18" s="194" t="s">
        <v>274</v>
      </c>
      <c r="E18" s="195"/>
      <c r="F18" s="194" t="s">
        <v>244</v>
      </c>
      <c r="G18" s="195"/>
      <c r="H18" s="194" t="s">
        <v>206</v>
      </c>
      <c r="I18" s="195"/>
      <c r="J18" s="194" t="s">
        <v>244</v>
      </c>
      <c r="K18" s="195"/>
      <c r="L18" s="194" t="s">
        <v>275</v>
      </c>
      <c r="M18" s="195"/>
      <c r="N18" s="87" t="s">
        <v>98</v>
      </c>
      <c r="Q18" s="80" t="s">
        <v>24</v>
      </c>
    </row>
    <row r="19" spans="2:17" ht="15" customHeight="1" x14ac:dyDescent="0.2">
      <c r="B19" s="182"/>
      <c r="C19" s="143" t="s">
        <v>100</v>
      </c>
      <c r="D19" s="192" t="s">
        <v>207</v>
      </c>
      <c r="E19" s="193"/>
      <c r="F19" s="194" t="s">
        <v>74</v>
      </c>
      <c r="G19" s="195"/>
      <c r="H19" s="192" t="s">
        <v>207</v>
      </c>
      <c r="I19" s="193"/>
      <c r="J19" s="194" t="s">
        <v>57</v>
      </c>
      <c r="K19" s="195"/>
      <c r="L19" s="194" t="s">
        <v>54</v>
      </c>
      <c r="M19" s="195"/>
      <c r="N19" s="146" t="s">
        <v>25</v>
      </c>
    </row>
    <row r="20" spans="2:17" ht="15" customHeight="1" x14ac:dyDescent="0.2">
      <c r="B20" s="182"/>
      <c r="C20" s="147"/>
      <c r="D20" s="192" t="s">
        <v>222</v>
      </c>
      <c r="E20" s="193"/>
      <c r="F20" s="194" t="s">
        <v>252</v>
      </c>
      <c r="G20" s="195"/>
      <c r="H20" s="160"/>
      <c r="I20" s="161"/>
      <c r="J20" s="194" t="s">
        <v>246</v>
      </c>
      <c r="K20" s="195"/>
      <c r="L20" s="194"/>
      <c r="M20" s="195"/>
      <c r="N20" s="146" t="s">
        <v>258</v>
      </c>
    </row>
    <row r="21" spans="2:17" ht="15" customHeight="1" thickBot="1" x14ac:dyDescent="0.25">
      <c r="B21" s="183"/>
      <c r="C21" s="144"/>
      <c r="D21" s="184" t="s">
        <v>241</v>
      </c>
      <c r="E21" s="185"/>
      <c r="F21" s="184" t="s">
        <v>249</v>
      </c>
      <c r="G21" s="185"/>
      <c r="H21" s="184" t="s">
        <v>241</v>
      </c>
      <c r="I21" s="185"/>
      <c r="J21" s="184" t="s">
        <v>240</v>
      </c>
      <c r="K21" s="185"/>
      <c r="L21" s="184" t="s">
        <v>240</v>
      </c>
      <c r="M21" s="185"/>
      <c r="N21" s="145" t="s">
        <v>240</v>
      </c>
    </row>
    <row r="22" spans="2:17" ht="29.25" customHeight="1" x14ac:dyDescent="0.2">
      <c r="B22" s="181" t="s">
        <v>50</v>
      </c>
      <c r="C22" s="122" t="s">
        <v>101</v>
      </c>
      <c r="D22" s="206" t="s">
        <v>211</v>
      </c>
      <c r="E22" s="206"/>
      <c r="F22" s="204" t="s">
        <v>220</v>
      </c>
      <c r="G22" s="204"/>
      <c r="H22" s="204" t="s">
        <v>242</v>
      </c>
      <c r="I22" s="204"/>
      <c r="J22" s="204" t="s">
        <v>266</v>
      </c>
      <c r="K22" s="204"/>
      <c r="L22" s="204" t="s">
        <v>229</v>
      </c>
      <c r="M22" s="204"/>
      <c r="N22" s="86" t="s">
        <v>219</v>
      </c>
    </row>
    <row r="23" spans="2:17" ht="25.5" customHeight="1" x14ac:dyDescent="0.2">
      <c r="B23" s="182"/>
      <c r="C23" s="123" t="s">
        <v>102</v>
      </c>
      <c r="D23" s="196" t="s">
        <v>196</v>
      </c>
      <c r="E23" s="196"/>
      <c r="F23" s="196" t="s">
        <v>197</v>
      </c>
      <c r="G23" s="196"/>
      <c r="H23" s="196" t="s">
        <v>208</v>
      </c>
      <c r="I23" s="196"/>
      <c r="J23" s="196" t="s">
        <v>93</v>
      </c>
      <c r="K23" s="196"/>
      <c r="L23" s="218" t="s">
        <v>194</v>
      </c>
      <c r="M23" s="219"/>
      <c r="N23" s="85" t="s">
        <v>210</v>
      </c>
    </row>
    <row r="24" spans="2:17" ht="21.75" customHeight="1" x14ac:dyDescent="0.2">
      <c r="B24" s="182"/>
      <c r="C24" s="123" t="s">
        <v>103</v>
      </c>
      <c r="D24" s="196" t="s">
        <v>212</v>
      </c>
      <c r="E24" s="222"/>
      <c r="F24" s="196" t="s">
        <v>195</v>
      </c>
      <c r="G24" s="222"/>
      <c r="H24" s="196"/>
      <c r="I24" s="222"/>
      <c r="J24" s="220"/>
      <c r="K24" s="221"/>
      <c r="L24" s="193" t="s">
        <v>199</v>
      </c>
      <c r="M24" s="192"/>
      <c r="N24" s="129" t="s">
        <v>257</v>
      </c>
    </row>
    <row r="25" spans="2:17" ht="26.25" customHeight="1" x14ac:dyDescent="0.2">
      <c r="B25" s="182"/>
      <c r="C25" s="123" t="s">
        <v>105</v>
      </c>
      <c r="D25" s="196" t="s">
        <v>90</v>
      </c>
      <c r="E25" s="196"/>
      <c r="F25" s="223"/>
      <c r="G25" s="223"/>
      <c r="H25" s="196"/>
      <c r="I25" s="196"/>
      <c r="J25" s="233"/>
      <c r="K25" s="234"/>
      <c r="L25" s="218" t="s">
        <v>215</v>
      </c>
      <c r="M25" s="231"/>
      <c r="N25" s="130" t="s">
        <v>216</v>
      </c>
      <c r="P25" s="80" t="s">
        <v>24</v>
      </c>
    </row>
    <row r="26" spans="2:17" ht="21.75" customHeight="1" x14ac:dyDescent="0.2">
      <c r="B26" s="182"/>
      <c r="C26" s="123" t="s">
        <v>104</v>
      </c>
      <c r="D26" s="192"/>
      <c r="E26" s="193"/>
      <c r="F26" s="192" t="s">
        <v>213</v>
      </c>
      <c r="G26" s="193"/>
      <c r="H26" s="222" t="s">
        <v>127</v>
      </c>
      <c r="I26" s="222"/>
      <c r="J26" s="220" t="s">
        <v>70</v>
      </c>
      <c r="K26" s="221"/>
      <c r="L26" s="192"/>
      <c r="M26" s="232"/>
      <c r="N26" s="130"/>
    </row>
    <row r="27" spans="2:17" ht="24" customHeight="1" x14ac:dyDescent="0.2">
      <c r="B27" s="182"/>
      <c r="C27" s="123" t="s">
        <v>107</v>
      </c>
      <c r="D27" s="222"/>
      <c r="E27" s="222"/>
      <c r="F27" s="196"/>
      <c r="G27" s="196"/>
      <c r="H27" s="196"/>
      <c r="I27" s="196"/>
      <c r="J27" s="196"/>
      <c r="K27" s="196"/>
      <c r="L27" s="222"/>
      <c r="M27" s="186"/>
      <c r="N27" s="130"/>
    </row>
    <row r="28" spans="2:17" ht="19.5" customHeight="1" x14ac:dyDescent="0.2">
      <c r="B28" s="182"/>
      <c r="C28" s="124" t="s">
        <v>100</v>
      </c>
      <c r="D28" s="215" t="s">
        <v>259</v>
      </c>
      <c r="E28" s="215"/>
      <c r="F28" s="215" t="s">
        <v>218</v>
      </c>
      <c r="G28" s="215"/>
      <c r="H28" s="215" t="s">
        <v>201</v>
      </c>
      <c r="I28" s="215"/>
      <c r="J28" s="215" t="s">
        <v>202</v>
      </c>
      <c r="K28" s="215"/>
      <c r="L28" s="215" t="s">
        <v>202</v>
      </c>
      <c r="M28" s="225"/>
      <c r="N28" s="88" t="s">
        <v>201</v>
      </c>
    </row>
    <row r="29" spans="2:17" ht="20.25" customHeight="1" thickBot="1" x14ac:dyDescent="0.25">
      <c r="B29" s="183"/>
      <c r="C29" s="125" t="s">
        <v>193</v>
      </c>
      <c r="D29" s="227"/>
      <c r="E29" s="228"/>
      <c r="F29" s="229"/>
      <c r="G29" s="230"/>
      <c r="H29" s="227" t="s">
        <v>203</v>
      </c>
      <c r="I29" s="228"/>
      <c r="J29" s="227" t="s">
        <v>188</v>
      </c>
      <c r="K29" s="228"/>
      <c r="L29" s="227"/>
      <c r="M29" s="228"/>
      <c r="N29" s="128"/>
    </row>
    <row r="30" spans="2:17" x14ac:dyDescent="0.2">
      <c r="G30" s="80" t="s">
        <v>24</v>
      </c>
      <c r="J30" s="80" t="s">
        <v>24</v>
      </c>
    </row>
  </sheetData>
  <mergeCells count="142">
    <mergeCell ref="H27:I27"/>
    <mergeCell ref="J27:K27"/>
    <mergeCell ref="H28:I28"/>
    <mergeCell ref="J28:K28"/>
    <mergeCell ref="H29:I29"/>
    <mergeCell ref="J29:K29"/>
    <mergeCell ref="H22:I22"/>
    <mergeCell ref="J22:K22"/>
    <mergeCell ref="H23:I23"/>
    <mergeCell ref="J23:K23"/>
    <mergeCell ref="H24:I24"/>
    <mergeCell ref="J24:K24"/>
    <mergeCell ref="H25:I25"/>
    <mergeCell ref="J25:K25"/>
    <mergeCell ref="H26:I26"/>
    <mergeCell ref="J26:K26"/>
    <mergeCell ref="P9:R9"/>
    <mergeCell ref="D15:E15"/>
    <mergeCell ref="F15:G15"/>
    <mergeCell ref="H6:I6"/>
    <mergeCell ref="J15:K15"/>
    <mergeCell ref="L6:M6"/>
    <mergeCell ref="D29:E29"/>
    <mergeCell ref="F29:G29"/>
    <mergeCell ref="L29:M29"/>
    <mergeCell ref="L25:M25"/>
    <mergeCell ref="D28:E28"/>
    <mergeCell ref="F28:G28"/>
    <mergeCell ref="L28:M28"/>
    <mergeCell ref="D27:E27"/>
    <mergeCell ref="F27:G27"/>
    <mergeCell ref="L27:M27"/>
    <mergeCell ref="L17:M17"/>
    <mergeCell ref="D26:E26"/>
    <mergeCell ref="F26:G26"/>
    <mergeCell ref="L26:M26"/>
    <mergeCell ref="L24:M24"/>
    <mergeCell ref="D25:E25"/>
    <mergeCell ref="F25:G25"/>
    <mergeCell ref="D23:E23"/>
    <mergeCell ref="F23:G23"/>
    <mergeCell ref="L23:M23"/>
    <mergeCell ref="D24:E24"/>
    <mergeCell ref="F24:G24"/>
    <mergeCell ref="D19:E19"/>
    <mergeCell ref="F19:G19"/>
    <mergeCell ref="L19:M19"/>
    <mergeCell ref="D22:E22"/>
    <mergeCell ref="F22:G22"/>
    <mergeCell ref="L22:M22"/>
    <mergeCell ref="H19:I19"/>
    <mergeCell ref="J19:K19"/>
    <mergeCell ref="J20:K20"/>
    <mergeCell ref="H21:I21"/>
    <mergeCell ref="J21:K21"/>
    <mergeCell ref="D16:E16"/>
    <mergeCell ref="F16:G16"/>
    <mergeCell ref="H16:I16"/>
    <mergeCell ref="J16:K16"/>
    <mergeCell ref="L16:M16"/>
    <mergeCell ref="D18:E18"/>
    <mergeCell ref="F18:G18"/>
    <mergeCell ref="L18:M18"/>
    <mergeCell ref="D17:E17"/>
    <mergeCell ref="F17:G17"/>
    <mergeCell ref="H17:I17"/>
    <mergeCell ref="J17:K17"/>
    <mergeCell ref="H18:I18"/>
    <mergeCell ref="J18:K18"/>
    <mergeCell ref="L14:M14"/>
    <mergeCell ref="D13:E13"/>
    <mergeCell ref="F13:G13"/>
    <mergeCell ref="H13:I13"/>
    <mergeCell ref="J13:K13"/>
    <mergeCell ref="L13:M13"/>
    <mergeCell ref="D12:E12"/>
    <mergeCell ref="F12:G12"/>
    <mergeCell ref="H12:I12"/>
    <mergeCell ref="J12:K12"/>
    <mergeCell ref="L12:M12"/>
    <mergeCell ref="D14:E14"/>
    <mergeCell ref="F14:G14"/>
    <mergeCell ref="H14:I14"/>
    <mergeCell ref="J14:K14"/>
    <mergeCell ref="L8:M8"/>
    <mergeCell ref="D9:E9"/>
    <mergeCell ref="F9:G9"/>
    <mergeCell ref="H9:I9"/>
    <mergeCell ref="J9:K9"/>
    <mergeCell ref="L9:M9"/>
    <mergeCell ref="D10:E10"/>
    <mergeCell ref="F10:G10"/>
    <mergeCell ref="H10:I10"/>
    <mergeCell ref="J10:K10"/>
    <mergeCell ref="B22:B29"/>
    <mergeCell ref="D2:E2"/>
    <mergeCell ref="F2:G2"/>
    <mergeCell ref="H2:I2"/>
    <mergeCell ref="J2:K2"/>
    <mergeCell ref="L2:M2"/>
    <mergeCell ref="L3:M3"/>
    <mergeCell ref="D4:E4"/>
    <mergeCell ref="F4:G4"/>
    <mergeCell ref="H4:I4"/>
    <mergeCell ref="J4:K4"/>
    <mergeCell ref="L4:M4"/>
    <mergeCell ref="D3:E3"/>
    <mergeCell ref="F3:G3"/>
    <mergeCell ref="H3:I3"/>
    <mergeCell ref="J3:K3"/>
    <mergeCell ref="D5:E5"/>
    <mergeCell ref="F5:G5"/>
    <mergeCell ref="H5:I5"/>
    <mergeCell ref="J5:K5"/>
    <mergeCell ref="L10:M10"/>
    <mergeCell ref="D11:E11"/>
    <mergeCell ref="F11:G11"/>
    <mergeCell ref="H11:I11"/>
    <mergeCell ref="B3:B7"/>
    <mergeCell ref="D7:E7"/>
    <mergeCell ref="F7:G7"/>
    <mergeCell ref="H7:I7"/>
    <mergeCell ref="J7:K7"/>
    <mergeCell ref="L7:M7"/>
    <mergeCell ref="D21:E21"/>
    <mergeCell ref="F21:G21"/>
    <mergeCell ref="L21:M21"/>
    <mergeCell ref="B17:B21"/>
    <mergeCell ref="D6:E6"/>
    <mergeCell ref="F6:G6"/>
    <mergeCell ref="L15:M15"/>
    <mergeCell ref="D20:E20"/>
    <mergeCell ref="F20:G20"/>
    <mergeCell ref="L20:M20"/>
    <mergeCell ref="J11:K11"/>
    <mergeCell ref="L11:M11"/>
    <mergeCell ref="L5:M5"/>
    <mergeCell ref="B8:B14"/>
    <mergeCell ref="D8:E8"/>
    <mergeCell ref="F8:G8"/>
    <mergeCell ref="H8:I8"/>
    <mergeCell ref="J8:K8"/>
  </mergeCells>
  <hyperlinks>
    <hyperlink ref="D2:E2" location="'день 1 '!A1" display="1 день"/>
    <hyperlink ref="F2:M2" location="'день 1 '!A1" display="1 день"/>
    <hyperlink ref="D16:E16" location="'день 1 '!A1" display="1 день"/>
    <hyperlink ref="F16:M16" location="'день 1 '!A1" display="1 день"/>
  </hyperlinks>
  <pageMargins left="0.32291666666666669" right="0.7" top="0.29166666666666669" bottom="0.44791666666666669" header="0.3" footer="0.3"/>
  <pageSetup paperSize="9" scale="85" fitToWidth="0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Z98"/>
  <sheetViews>
    <sheetView tabSelected="1" view="pageLayout" zoomScale="90" zoomScaleNormal="100" zoomScalePageLayoutView="90" workbookViewId="0">
      <selection activeCell="J5" sqref="J5"/>
    </sheetView>
  </sheetViews>
  <sheetFormatPr defaultRowHeight="15" x14ac:dyDescent="0.25"/>
  <cols>
    <col min="1" max="1" width="5.7109375" style="13" customWidth="1"/>
    <col min="2" max="2" width="2.7109375" style="13" customWidth="1"/>
    <col min="3" max="3" width="10.5703125" style="12" customWidth="1"/>
    <col min="4" max="4" width="35.5703125" style="12" customWidth="1"/>
    <col min="5" max="6" width="7.28515625" style="12" customWidth="1"/>
    <col min="7" max="7" width="6.7109375" style="12" customWidth="1"/>
    <col min="8" max="8" width="6.85546875" style="12" customWidth="1"/>
    <col min="9" max="9" width="6.42578125" style="12" customWidth="1"/>
    <col min="10" max="10" width="6.5703125" style="12" customWidth="1"/>
    <col min="11" max="11" width="7.5703125" style="12" customWidth="1"/>
    <col min="12" max="12" width="7.42578125" style="12" customWidth="1"/>
    <col min="13" max="13" width="8.5703125" style="12" customWidth="1"/>
    <col min="14" max="14" width="12" style="12" customWidth="1"/>
    <col min="15" max="15" width="9" style="12" customWidth="1"/>
    <col min="16" max="16" width="7.28515625" style="12" customWidth="1"/>
    <col min="17" max="20" width="9.140625" style="12"/>
    <col min="21" max="21" width="7.28515625" style="12" customWidth="1"/>
    <col min="22" max="22" width="7.7109375" style="12" customWidth="1"/>
    <col min="23" max="23" width="9.140625" style="12"/>
    <col min="24" max="24" width="7.7109375" style="12" customWidth="1"/>
    <col min="25" max="16384" width="9.140625" style="12"/>
  </cols>
  <sheetData>
    <row r="1" spans="2:26" s="16" customFormat="1" x14ac:dyDescent="0.25"/>
    <row r="2" spans="2:26" s="13" customFormat="1" ht="12.75" customHeight="1" x14ac:dyDescent="0.25"/>
    <row r="3" spans="2:26" s="13" customFormat="1" ht="19.5" x14ac:dyDescent="0.3">
      <c r="C3" s="269" t="s">
        <v>39</v>
      </c>
      <c r="D3" s="269"/>
      <c r="E3" s="269"/>
      <c r="F3" s="269"/>
      <c r="G3" s="269"/>
      <c r="H3" s="47"/>
      <c r="I3" s="48"/>
      <c r="J3" s="48" t="s">
        <v>40</v>
      </c>
      <c r="K3" s="48"/>
      <c r="L3" s="48"/>
      <c r="M3" s="48"/>
    </row>
    <row r="4" spans="2:26" s="13" customFormat="1" ht="17.25" x14ac:dyDescent="0.3">
      <c r="C4" s="45" t="s">
        <v>41</v>
      </c>
      <c r="D4" s="45"/>
      <c r="E4" s="45"/>
      <c r="F4" s="46"/>
      <c r="G4" s="45"/>
      <c r="H4" s="45"/>
      <c r="I4" s="45"/>
      <c r="J4" s="310" t="s">
        <v>276</v>
      </c>
      <c r="K4" s="310"/>
      <c r="L4" s="310"/>
      <c r="M4" s="310"/>
      <c r="N4" s="310"/>
    </row>
    <row r="5" spans="2:26" s="13" customFormat="1" ht="17.25" x14ac:dyDescent="0.3">
      <c r="C5" s="270" t="s">
        <v>42</v>
      </c>
      <c r="D5" s="270"/>
      <c r="E5" s="270"/>
      <c r="F5" s="270"/>
      <c r="G5" s="45"/>
      <c r="H5" s="45"/>
      <c r="I5" s="45"/>
      <c r="J5" s="310" t="s">
        <v>278</v>
      </c>
      <c r="K5" s="310"/>
      <c r="L5" s="310"/>
      <c r="M5" s="310"/>
      <c r="N5" s="45"/>
    </row>
    <row r="6" spans="2:26" s="16" customFormat="1" ht="17.25" x14ac:dyDescent="0.3"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</row>
    <row r="7" spans="2:26" s="16" customFormat="1" ht="17.25" x14ac:dyDescent="0.3"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2:26" s="16" customFormat="1" ht="17.25" x14ac:dyDescent="0.3"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2:26" s="13" customFormat="1" x14ac:dyDescent="0.25"/>
    <row r="10" spans="2:26" s="13" customFormat="1" ht="20.25" customHeight="1" x14ac:dyDescent="0.25">
      <c r="B10" s="59"/>
      <c r="C10" s="59"/>
      <c r="D10" s="271" t="s">
        <v>108</v>
      </c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93"/>
      <c r="P10" s="93"/>
      <c r="Q10" s="55"/>
      <c r="R10" s="55"/>
    </row>
    <row r="11" spans="2:26" s="13" customFormat="1" ht="16.5" customHeight="1" x14ac:dyDescent="0.25">
      <c r="B11" s="57"/>
      <c r="C11" s="57"/>
      <c r="D11" s="271" t="s">
        <v>109</v>
      </c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93"/>
      <c r="P11" s="93"/>
      <c r="Q11" s="54"/>
      <c r="R11" s="54"/>
    </row>
    <row r="12" spans="2:26" s="13" customFormat="1" ht="15.75" x14ac:dyDescent="0.25">
      <c r="D12" s="309" t="s">
        <v>277</v>
      </c>
      <c r="E12" s="309"/>
      <c r="F12" s="309"/>
      <c r="G12" s="309"/>
      <c r="H12" s="309"/>
      <c r="I12" s="309"/>
      <c r="J12" s="309"/>
      <c r="K12" s="309"/>
      <c r="L12" s="309"/>
      <c r="M12" s="309"/>
      <c r="N12" s="309"/>
      <c r="O12" s="94"/>
      <c r="P12" s="92"/>
    </row>
    <row r="13" spans="2:26" ht="15" customHeight="1" thickBot="1" x14ac:dyDescent="0.3"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2"/>
      <c r="P13" s="2"/>
      <c r="Q13" s="1"/>
      <c r="R13" s="1"/>
      <c r="S13" s="1"/>
      <c r="T13" s="1"/>
      <c r="U13" s="2"/>
      <c r="V13" s="2"/>
      <c r="W13" s="1"/>
      <c r="X13" s="1"/>
      <c r="Y13" s="1"/>
      <c r="Z13" s="1"/>
    </row>
    <row r="14" spans="2:26" ht="15" customHeight="1" x14ac:dyDescent="0.25">
      <c r="B14" s="239" t="s">
        <v>38</v>
      </c>
      <c r="C14" s="253" t="s">
        <v>0</v>
      </c>
      <c r="D14" s="256" t="s">
        <v>1</v>
      </c>
      <c r="E14" s="259" t="s">
        <v>6</v>
      </c>
      <c r="F14" s="260"/>
      <c r="G14" s="263" t="s">
        <v>7</v>
      </c>
      <c r="H14" s="263"/>
      <c r="I14" s="263"/>
      <c r="J14" s="263"/>
      <c r="K14" s="263"/>
      <c r="L14" s="263"/>
      <c r="M14" s="264" t="s">
        <v>5</v>
      </c>
      <c r="N14" s="265"/>
      <c r="O14" s="1"/>
      <c r="P14" s="3"/>
      <c r="Q14" s="5"/>
      <c r="R14" s="5"/>
      <c r="S14" s="5"/>
      <c r="T14" s="5"/>
      <c r="U14" s="1"/>
      <c r="V14" s="3"/>
      <c r="W14" s="5"/>
      <c r="X14" s="5"/>
      <c r="Y14" s="5"/>
      <c r="Z14" s="5"/>
    </row>
    <row r="15" spans="2:26" x14ac:dyDescent="0.25">
      <c r="B15" s="240"/>
      <c r="C15" s="254"/>
      <c r="D15" s="257"/>
      <c r="E15" s="261"/>
      <c r="F15" s="262"/>
      <c r="G15" s="268" t="s">
        <v>3</v>
      </c>
      <c r="H15" s="268"/>
      <c r="I15" s="266" t="s">
        <v>2</v>
      </c>
      <c r="J15" s="266"/>
      <c r="K15" s="268" t="s">
        <v>4</v>
      </c>
      <c r="L15" s="268"/>
      <c r="M15" s="266"/>
      <c r="N15" s="267"/>
      <c r="O15" s="1"/>
      <c r="P15" s="3"/>
      <c r="Q15" s="5"/>
      <c r="R15" s="5"/>
      <c r="S15" s="5"/>
      <c r="T15" s="5"/>
      <c r="U15" s="1"/>
      <c r="V15" s="3"/>
      <c r="W15" s="5"/>
      <c r="X15" s="5"/>
      <c r="Y15" s="5"/>
      <c r="Z15" s="5"/>
    </row>
    <row r="16" spans="2:26" ht="27.75" customHeight="1" thickBot="1" x14ac:dyDescent="0.3">
      <c r="B16" s="241"/>
      <c r="C16" s="255"/>
      <c r="D16" s="258"/>
      <c r="E16" s="27" t="s">
        <v>15</v>
      </c>
      <c r="F16" s="28" t="s">
        <v>43</v>
      </c>
      <c r="G16" s="27" t="s">
        <v>15</v>
      </c>
      <c r="H16" s="28" t="s">
        <v>43</v>
      </c>
      <c r="I16" s="27" t="s">
        <v>15</v>
      </c>
      <c r="J16" s="28" t="s">
        <v>43</v>
      </c>
      <c r="K16" s="27" t="s">
        <v>15</v>
      </c>
      <c r="L16" s="28" t="s">
        <v>43</v>
      </c>
      <c r="M16" s="27" t="s">
        <v>15</v>
      </c>
      <c r="N16" s="29" t="s">
        <v>43</v>
      </c>
      <c r="O16" s="1"/>
      <c r="P16" s="3"/>
      <c r="Q16" s="5"/>
      <c r="R16" s="5"/>
      <c r="S16" s="5"/>
      <c r="T16" s="5"/>
      <c r="U16" s="1"/>
      <c r="V16" s="3"/>
      <c r="W16" s="5"/>
      <c r="X16" s="5"/>
      <c r="Y16" s="5"/>
      <c r="Z16" s="5"/>
    </row>
    <row r="17" spans="2:26" x14ac:dyDescent="0.25">
      <c r="B17" s="245" t="s">
        <v>171</v>
      </c>
      <c r="C17" s="242" t="s">
        <v>8</v>
      </c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4"/>
      <c r="O17" s="1"/>
      <c r="P17" s="3"/>
      <c r="Q17" s="5"/>
      <c r="R17" s="5"/>
      <c r="S17" s="5"/>
      <c r="T17" s="5"/>
      <c r="U17" s="1"/>
      <c r="V17" s="3"/>
      <c r="W17" s="5"/>
      <c r="X17" s="5"/>
      <c r="Y17" s="5"/>
      <c r="Z17" s="5"/>
    </row>
    <row r="18" spans="2:26" x14ac:dyDescent="0.25">
      <c r="B18" s="246"/>
      <c r="C18" s="78" t="s">
        <v>55</v>
      </c>
      <c r="D18" s="50" t="s">
        <v>17</v>
      </c>
      <c r="E18" s="60">
        <v>150</v>
      </c>
      <c r="F18" s="31">
        <v>200</v>
      </c>
      <c r="G18" s="22">
        <f>E18*2.5/100</f>
        <v>3.75</v>
      </c>
      <c r="H18" s="33">
        <f>F18*2.5/100</f>
        <v>5</v>
      </c>
      <c r="I18" s="22">
        <f>E18*3.18/100</f>
        <v>4.7699999999999996</v>
      </c>
      <c r="J18" s="33">
        <f>F18*3.18/100</f>
        <v>6.36</v>
      </c>
      <c r="K18" s="22">
        <f>E18*15.7/100</f>
        <v>23.55</v>
      </c>
      <c r="L18" s="33">
        <f>F18*15.7/100</f>
        <v>31.4</v>
      </c>
      <c r="M18" s="22">
        <f t="shared" ref="M18:N25" si="0">G18*4+I18*9+K18*4</f>
        <v>152.13</v>
      </c>
      <c r="N18" s="35">
        <f t="shared" si="0"/>
        <v>202.84</v>
      </c>
      <c r="O18" s="1"/>
      <c r="P18" s="3"/>
      <c r="Q18" s="5"/>
      <c r="R18" s="5"/>
      <c r="S18" s="5"/>
      <c r="T18" s="5"/>
      <c r="U18" s="1"/>
      <c r="V18" s="3"/>
      <c r="W18" s="5"/>
      <c r="X18" s="5"/>
      <c r="Y18" s="5"/>
      <c r="Z18" s="5"/>
    </row>
    <row r="19" spans="2:26" s="16" customFormat="1" x14ac:dyDescent="0.25">
      <c r="B19" s="246"/>
      <c r="C19" s="96" t="s">
        <v>110</v>
      </c>
      <c r="D19" s="97" t="s">
        <v>111</v>
      </c>
      <c r="E19" s="60">
        <v>20</v>
      </c>
      <c r="F19" s="95">
        <v>20</v>
      </c>
      <c r="G19" s="22">
        <f>E19*23.2/100</f>
        <v>4.6399999999999997</v>
      </c>
      <c r="H19" s="33">
        <f>F19*23.2/100</f>
        <v>4.6399999999999997</v>
      </c>
      <c r="I19" s="22">
        <f>E19*29.5/100</f>
        <v>5.9</v>
      </c>
      <c r="J19" s="33">
        <f>F19*29.5/100</f>
        <v>5.9</v>
      </c>
      <c r="K19" s="22">
        <f>E19*0/100</f>
        <v>0</v>
      </c>
      <c r="L19" s="33">
        <f>F19*0/100</f>
        <v>0</v>
      </c>
      <c r="M19" s="22">
        <f t="shared" si="0"/>
        <v>71.66</v>
      </c>
      <c r="N19" s="35">
        <f t="shared" si="0"/>
        <v>71.66</v>
      </c>
      <c r="O19" s="1"/>
      <c r="P19" s="3"/>
      <c r="Q19" s="5"/>
      <c r="R19" s="5"/>
      <c r="S19" s="5"/>
      <c r="T19" s="5"/>
      <c r="U19" s="1"/>
      <c r="V19" s="3"/>
      <c r="W19" s="5"/>
      <c r="X19" s="5"/>
      <c r="Y19" s="5"/>
      <c r="Z19" s="5"/>
    </row>
    <row r="20" spans="2:26" s="16" customFormat="1" x14ac:dyDescent="0.25">
      <c r="B20" s="246"/>
      <c r="C20" s="21" t="s">
        <v>44</v>
      </c>
      <c r="D20" s="6" t="s">
        <v>11</v>
      </c>
      <c r="E20" s="60">
        <v>200</v>
      </c>
      <c r="F20" s="31">
        <v>200</v>
      </c>
      <c r="G20" s="22">
        <f>E20*0.3/200</f>
        <v>0.3</v>
      </c>
      <c r="H20" s="33">
        <f>F20*0.3/200</f>
        <v>0.3</v>
      </c>
      <c r="I20" s="22">
        <f>E20*0.1/200</f>
        <v>0.1</v>
      </c>
      <c r="J20" s="33">
        <f>F20*0.1/200</f>
        <v>0.1</v>
      </c>
      <c r="K20" s="22">
        <f>E20*9.5/200</f>
        <v>9.5</v>
      </c>
      <c r="L20" s="33">
        <f>F20*9.5/200</f>
        <v>9.5</v>
      </c>
      <c r="M20" s="22">
        <f t="shared" si="0"/>
        <v>40.1</v>
      </c>
      <c r="N20" s="35">
        <f t="shared" si="0"/>
        <v>40.1</v>
      </c>
      <c r="O20" s="1"/>
      <c r="P20" s="3"/>
      <c r="Q20" s="5"/>
      <c r="R20" s="5"/>
      <c r="S20" s="5"/>
      <c r="T20" s="5"/>
      <c r="U20" s="1"/>
      <c r="V20" s="3"/>
      <c r="W20" s="5"/>
      <c r="X20" s="5"/>
      <c r="Y20" s="5"/>
      <c r="Z20" s="5"/>
    </row>
    <row r="21" spans="2:26" s="16" customFormat="1" x14ac:dyDescent="0.25">
      <c r="B21" s="246"/>
      <c r="C21" s="20" t="s">
        <v>226</v>
      </c>
      <c r="D21" s="9" t="s">
        <v>227</v>
      </c>
      <c r="E21" s="139">
        <v>30</v>
      </c>
      <c r="F21" s="63">
        <v>30</v>
      </c>
      <c r="G21" s="22">
        <f>21.85/100*E21</f>
        <v>6.5550000000000006</v>
      </c>
      <c r="H21" s="33">
        <f>21.85/100*F21</f>
        <v>6.5550000000000006</v>
      </c>
      <c r="I21" s="140">
        <f>20.12/100*E21</f>
        <v>6.0360000000000005</v>
      </c>
      <c r="J21" s="33">
        <f>20.12/100*F21</f>
        <v>6.0360000000000005</v>
      </c>
      <c r="K21" s="22">
        <f>40.1/100*E21</f>
        <v>12.030000000000001</v>
      </c>
      <c r="L21" s="33">
        <f>40.1/100*F21</f>
        <v>12.030000000000001</v>
      </c>
      <c r="M21" s="22">
        <f t="shared" si="0"/>
        <v>128.66400000000002</v>
      </c>
      <c r="N21" s="35">
        <f t="shared" si="0"/>
        <v>128.66400000000002</v>
      </c>
      <c r="O21" s="1"/>
      <c r="P21" s="3"/>
      <c r="Q21" s="5"/>
      <c r="R21" s="5"/>
      <c r="S21" s="5"/>
      <c r="T21" s="5"/>
      <c r="U21" s="1"/>
      <c r="V21" s="3"/>
      <c r="W21" s="5"/>
      <c r="X21" s="5"/>
      <c r="Y21" s="5"/>
      <c r="Z21" s="5"/>
    </row>
    <row r="22" spans="2:26" x14ac:dyDescent="0.25">
      <c r="B22" s="246"/>
      <c r="C22" s="21" t="s">
        <v>80</v>
      </c>
      <c r="D22" s="6" t="s">
        <v>81</v>
      </c>
      <c r="E22" s="62">
        <v>20</v>
      </c>
      <c r="F22" s="63">
        <v>20</v>
      </c>
      <c r="G22" s="22">
        <f>E22*7.6/100</f>
        <v>1.52</v>
      </c>
      <c r="H22" s="33">
        <f>F22*7.6/100</f>
        <v>1.52</v>
      </c>
      <c r="I22" s="22">
        <f>E22*0.8/100</f>
        <v>0.16</v>
      </c>
      <c r="J22" s="33">
        <f>F22*0.8/100</f>
        <v>0.16</v>
      </c>
      <c r="K22" s="22">
        <f>E22*49.2/100</f>
        <v>9.84</v>
      </c>
      <c r="L22" s="33">
        <f>F22*49.2/100</f>
        <v>9.84</v>
      </c>
      <c r="M22" s="22">
        <f t="shared" si="0"/>
        <v>46.879999999999995</v>
      </c>
      <c r="N22" s="35">
        <f t="shared" si="0"/>
        <v>46.879999999999995</v>
      </c>
      <c r="O22" s="1"/>
      <c r="P22" s="3"/>
      <c r="Q22" s="5"/>
      <c r="R22" s="5"/>
      <c r="S22" s="5"/>
      <c r="T22" s="5"/>
      <c r="U22" s="1"/>
      <c r="V22" s="3"/>
      <c r="W22" s="5"/>
      <c r="X22" s="5"/>
      <c r="Y22" s="5"/>
      <c r="Z22" s="5"/>
    </row>
    <row r="23" spans="2:26" s="16" customFormat="1" x14ac:dyDescent="0.25">
      <c r="B23" s="246"/>
      <c r="C23" s="21" t="s">
        <v>79</v>
      </c>
      <c r="D23" s="6" t="s">
        <v>23</v>
      </c>
      <c r="E23" s="62">
        <v>20</v>
      </c>
      <c r="F23" s="63">
        <v>20</v>
      </c>
      <c r="G23" s="22">
        <f>E23*8/100</f>
        <v>1.6</v>
      </c>
      <c r="H23" s="33">
        <f>F23*8/100</f>
        <v>1.6</v>
      </c>
      <c r="I23" s="22">
        <f>E23*1.5/100</f>
        <v>0.3</v>
      </c>
      <c r="J23" s="33">
        <f>F23*1.5/100</f>
        <v>0.3</v>
      </c>
      <c r="K23" s="22">
        <f>E23*40.1/100</f>
        <v>8.02</v>
      </c>
      <c r="L23" s="33">
        <f>F23*40.1/100</f>
        <v>8.02</v>
      </c>
      <c r="M23" s="22">
        <f t="shared" si="0"/>
        <v>41.18</v>
      </c>
      <c r="N23" s="35">
        <f t="shared" si="0"/>
        <v>41.18</v>
      </c>
      <c r="O23" s="1"/>
      <c r="P23" s="3"/>
      <c r="Q23" s="5"/>
      <c r="R23" s="5"/>
      <c r="S23" s="5"/>
      <c r="T23" s="5"/>
      <c r="U23" s="1"/>
      <c r="V23" s="3"/>
      <c r="W23" s="5"/>
      <c r="X23" s="5"/>
      <c r="Y23" s="5"/>
      <c r="Z23" s="5"/>
    </row>
    <row r="24" spans="2:26" s="16" customFormat="1" x14ac:dyDescent="0.25">
      <c r="B24" s="246"/>
      <c r="C24" s="21" t="s">
        <v>112</v>
      </c>
      <c r="D24" s="6" t="s">
        <v>113</v>
      </c>
      <c r="E24" s="132">
        <v>150</v>
      </c>
      <c r="F24" s="31">
        <v>150</v>
      </c>
      <c r="G24" s="22">
        <f>E24*0.4/100</f>
        <v>0.6</v>
      </c>
      <c r="H24" s="33">
        <f>F24*0.4/100</f>
        <v>0.6</v>
      </c>
      <c r="I24" s="22">
        <f>E24*0.4/100</f>
        <v>0.6</v>
      </c>
      <c r="J24" s="33">
        <f>F24*0.4/100</f>
        <v>0.6</v>
      </c>
      <c r="K24" s="22">
        <f>E24*9.8/100</f>
        <v>14.7</v>
      </c>
      <c r="L24" s="33">
        <f>F24*9.8/100</f>
        <v>14.7</v>
      </c>
      <c r="M24" s="22">
        <f t="shared" si="0"/>
        <v>66.599999999999994</v>
      </c>
      <c r="N24" s="35">
        <f t="shared" si="0"/>
        <v>66.599999999999994</v>
      </c>
      <c r="O24" s="1"/>
      <c r="P24" s="3"/>
      <c r="Q24" s="5"/>
      <c r="R24" s="5"/>
      <c r="S24" s="5"/>
      <c r="T24" s="5"/>
      <c r="U24" s="1"/>
      <c r="V24" s="3"/>
      <c r="W24" s="5"/>
      <c r="X24" s="5"/>
      <c r="Y24" s="5"/>
      <c r="Z24" s="5"/>
    </row>
    <row r="25" spans="2:26" x14ac:dyDescent="0.25">
      <c r="B25" s="246"/>
      <c r="C25" s="26"/>
      <c r="D25" s="4" t="s">
        <v>13</v>
      </c>
      <c r="E25" s="24">
        <f t="shared" ref="E25:L25" si="1">SUM(E18:E24)</f>
        <v>590</v>
      </c>
      <c r="F25" s="32">
        <f t="shared" si="1"/>
        <v>640</v>
      </c>
      <c r="G25" s="7">
        <f t="shared" si="1"/>
        <v>18.965000000000003</v>
      </c>
      <c r="H25" s="34">
        <f t="shared" si="1"/>
        <v>20.215000000000003</v>
      </c>
      <c r="I25" s="7">
        <f t="shared" si="1"/>
        <v>17.866000000000003</v>
      </c>
      <c r="J25" s="34">
        <f t="shared" si="1"/>
        <v>19.456000000000003</v>
      </c>
      <c r="K25" s="7">
        <f t="shared" si="1"/>
        <v>77.64</v>
      </c>
      <c r="L25" s="34">
        <f t="shared" si="1"/>
        <v>85.49</v>
      </c>
      <c r="M25" s="7">
        <f t="shared" si="0"/>
        <v>547.21400000000006</v>
      </c>
      <c r="N25" s="36">
        <f t="shared" si="0"/>
        <v>597.92399999999998</v>
      </c>
      <c r="O25" s="1"/>
      <c r="P25" s="3"/>
      <c r="Q25" s="5"/>
      <c r="R25" s="5"/>
      <c r="S25" s="5"/>
      <c r="T25" s="5"/>
      <c r="U25" s="1"/>
      <c r="V25" s="3"/>
      <c r="W25" s="5"/>
      <c r="X25" s="5"/>
      <c r="Y25" s="5"/>
      <c r="Z25" s="5"/>
    </row>
    <row r="26" spans="2:26" x14ac:dyDescent="0.25">
      <c r="B26" s="246"/>
      <c r="C26" s="250" t="s">
        <v>9</v>
      </c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2"/>
      <c r="O26" s="1"/>
      <c r="P26" s="3"/>
      <c r="Q26" s="5"/>
      <c r="R26" s="5"/>
      <c r="S26" s="5"/>
      <c r="T26" s="5"/>
      <c r="U26" s="1"/>
      <c r="V26" s="3"/>
      <c r="W26" s="5"/>
      <c r="X26" s="5"/>
      <c r="Y26" s="5"/>
      <c r="Z26" s="5"/>
    </row>
    <row r="27" spans="2:26" x14ac:dyDescent="0.25">
      <c r="B27" s="246"/>
      <c r="C27" s="20" t="s">
        <v>236</v>
      </c>
      <c r="D27" s="9" t="s">
        <v>237</v>
      </c>
      <c r="E27" s="166">
        <v>60</v>
      </c>
      <c r="F27" s="43">
        <v>100</v>
      </c>
      <c r="G27" s="22">
        <f>E27*0.8/100</f>
        <v>0.48</v>
      </c>
      <c r="H27" s="33">
        <f>F27*0.8/100</f>
        <v>0.8</v>
      </c>
      <c r="I27" s="22">
        <f>E27*6/100</f>
        <v>3.6</v>
      </c>
      <c r="J27" s="33">
        <f>F27*6/100</f>
        <v>6</v>
      </c>
      <c r="K27" s="22">
        <f>E27*2.6/100</f>
        <v>1.56</v>
      </c>
      <c r="L27" s="33">
        <f>F27*2.6/100</f>
        <v>2.6</v>
      </c>
      <c r="M27" s="22">
        <f>G27*4+I27*9+K27*4</f>
        <v>40.56</v>
      </c>
      <c r="N27" s="35">
        <f>H27*4+J27*9+L27*4</f>
        <v>67.600000000000009</v>
      </c>
      <c r="O27" s="1"/>
      <c r="P27" s="3"/>
      <c r="Q27" s="5"/>
      <c r="R27" s="5"/>
      <c r="S27" s="5"/>
      <c r="T27" s="5"/>
      <c r="U27" s="1"/>
      <c r="V27" s="3"/>
      <c r="W27" s="5"/>
      <c r="X27" s="5"/>
      <c r="Y27" s="5"/>
      <c r="Z27" s="5"/>
    </row>
    <row r="28" spans="2:26" s="16" customFormat="1" x14ac:dyDescent="0.25">
      <c r="B28" s="246"/>
      <c r="C28" s="20" t="s">
        <v>19</v>
      </c>
      <c r="D28" s="8" t="s">
        <v>83</v>
      </c>
      <c r="E28" s="166">
        <v>200</v>
      </c>
      <c r="F28" s="43">
        <v>250</v>
      </c>
      <c r="G28" s="23">
        <f>E28*2.9/250</f>
        <v>2.3199999999999998</v>
      </c>
      <c r="H28" s="44">
        <f>F28*2.9/250</f>
        <v>2.9</v>
      </c>
      <c r="I28" s="23">
        <f>E28*2.5/250</f>
        <v>2</v>
      </c>
      <c r="J28" s="44">
        <f>F28*2.5/250</f>
        <v>2.5</v>
      </c>
      <c r="K28" s="23">
        <f>E28*21/250</f>
        <v>16.8</v>
      </c>
      <c r="L28" s="44">
        <f>F28*21/250</f>
        <v>21</v>
      </c>
      <c r="M28" s="23">
        <f t="shared" ref="M28:N28" si="2">G28*4+I28*9+K28*4</f>
        <v>94.48</v>
      </c>
      <c r="N28" s="41">
        <f t="shared" si="2"/>
        <v>118.1</v>
      </c>
      <c r="O28" s="1"/>
      <c r="P28" s="3"/>
      <c r="Q28" s="5"/>
      <c r="R28" s="5"/>
      <c r="S28" s="5"/>
      <c r="T28" s="5"/>
      <c r="U28" s="1"/>
      <c r="V28" s="3"/>
      <c r="W28" s="5"/>
      <c r="X28" s="5"/>
      <c r="Y28" s="5"/>
      <c r="Z28" s="5"/>
    </row>
    <row r="29" spans="2:26" x14ac:dyDescent="0.25">
      <c r="B29" s="246"/>
      <c r="C29" s="21" t="s">
        <v>114</v>
      </c>
      <c r="D29" s="6" t="s">
        <v>115</v>
      </c>
      <c r="E29" s="60">
        <v>150</v>
      </c>
      <c r="F29" s="31">
        <v>200</v>
      </c>
      <c r="G29" s="22">
        <f>E29*5.67/100</f>
        <v>8.5050000000000008</v>
      </c>
      <c r="H29" s="33">
        <f>F29*5.67/100</f>
        <v>11.34</v>
      </c>
      <c r="I29" s="22">
        <f>E29*4.24/100</f>
        <v>6.36</v>
      </c>
      <c r="J29" s="33">
        <f>F29*4.24/100</f>
        <v>8.48</v>
      </c>
      <c r="K29" s="22">
        <f>E29*25.13/100</f>
        <v>37.695</v>
      </c>
      <c r="L29" s="33">
        <f>F29*25.13/100</f>
        <v>50.26</v>
      </c>
      <c r="M29" s="22">
        <f t="shared" ref="M29:N33" si="3">G29*4+I29*9+K29*4</f>
        <v>242.04000000000002</v>
      </c>
      <c r="N29" s="35">
        <f t="shared" si="3"/>
        <v>322.72000000000003</v>
      </c>
      <c r="O29" s="1"/>
      <c r="P29" s="3"/>
      <c r="Q29" s="5"/>
      <c r="R29" s="5" t="s">
        <v>24</v>
      </c>
      <c r="S29" s="5"/>
      <c r="T29" s="5"/>
      <c r="U29" s="1"/>
      <c r="V29" s="3"/>
      <c r="W29" s="5"/>
      <c r="X29" s="5"/>
      <c r="Y29" s="5"/>
      <c r="Z29" s="5"/>
    </row>
    <row r="30" spans="2:26" s="16" customFormat="1" x14ac:dyDescent="0.25">
      <c r="B30" s="246"/>
      <c r="C30" s="20" t="s">
        <v>67</v>
      </c>
      <c r="D30" s="9" t="s">
        <v>68</v>
      </c>
      <c r="E30" s="60">
        <v>90</v>
      </c>
      <c r="F30" s="31">
        <v>100</v>
      </c>
      <c r="G30" s="22">
        <f>E30*12/100</f>
        <v>10.8</v>
      </c>
      <c r="H30" s="33">
        <f>F30*12/100</f>
        <v>12</v>
      </c>
      <c r="I30" s="22">
        <f>E30*24/100</f>
        <v>21.6</v>
      </c>
      <c r="J30" s="33">
        <f>F30*24/100</f>
        <v>24</v>
      </c>
      <c r="K30" s="22">
        <f>E30*5/100</f>
        <v>4.5</v>
      </c>
      <c r="L30" s="33">
        <f>F30*5/100</f>
        <v>5</v>
      </c>
      <c r="M30" s="22">
        <f t="shared" si="3"/>
        <v>255.60000000000002</v>
      </c>
      <c r="N30" s="35">
        <f t="shared" si="3"/>
        <v>284</v>
      </c>
      <c r="O30" s="1"/>
      <c r="P30" s="3"/>
      <c r="Q30" s="5"/>
      <c r="R30" s="5"/>
      <c r="S30" s="5"/>
      <c r="T30" s="5"/>
      <c r="U30" s="1"/>
      <c r="V30" s="3"/>
      <c r="W30" s="5"/>
      <c r="X30" s="5"/>
      <c r="Y30" s="5"/>
      <c r="Z30" s="5"/>
    </row>
    <row r="31" spans="2:26" s="16" customFormat="1" x14ac:dyDescent="0.25">
      <c r="B31" s="246"/>
      <c r="C31" s="20" t="s">
        <v>46</v>
      </c>
      <c r="D31" s="9" t="s">
        <v>47</v>
      </c>
      <c r="E31" s="60">
        <v>200</v>
      </c>
      <c r="F31" s="31">
        <v>200</v>
      </c>
      <c r="G31" s="22">
        <f>E31*0.6/200</f>
        <v>0.6</v>
      </c>
      <c r="H31" s="33">
        <f>F31*0.6/200</f>
        <v>0.6</v>
      </c>
      <c r="I31" s="22">
        <f>E31*0.1/200</f>
        <v>0.1</v>
      </c>
      <c r="J31" s="33">
        <f>F31*0.1/200</f>
        <v>0.1</v>
      </c>
      <c r="K31" s="22">
        <f>E31*20.1/200</f>
        <v>20.100000000000001</v>
      </c>
      <c r="L31" s="33">
        <f>F31*20.1/200</f>
        <v>20.100000000000001</v>
      </c>
      <c r="M31" s="22">
        <f t="shared" si="3"/>
        <v>83.7</v>
      </c>
      <c r="N31" s="35">
        <f t="shared" si="3"/>
        <v>83.7</v>
      </c>
      <c r="O31" s="1"/>
      <c r="P31" s="3"/>
      <c r="Q31" s="5"/>
      <c r="R31" s="5"/>
      <c r="S31" s="5"/>
      <c r="T31" s="5"/>
      <c r="U31" s="1"/>
      <c r="V31" s="3"/>
      <c r="W31" s="5"/>
      <c r="X31" s="5"/>
      <c r="Y31" s="5"/>
      <c r="Z31" s="5"/>
    </row>
    <row r="32" spans="2:26" x14ac:dyDescent="0.25">
      <c r="B32" s="246"/>
      <c r="C32" s="21" t="s">
        <v>79</v>
      </c>
      <c r="D32" s="6" t="s">
        <v>23</v>
      </c>
      <c r="E32" s="62">
        <v>30</v>
      </c>
      <c r="F32" s="63">
        <v>30</v>
      </c>
      <c r="G32" s="22">
        <f>E32*8/100</f>
        <v>2.4</v>
      </c>
      <c r="H32" s="33">
        <f>F32*8/100</f>
        <v>2.4</v>
      </c>
      <c r="I32" s="22">
        <f>E32*1.5/100</f>
        <v>0.45</v>
      </c>
      <c r="J32" s="33">
        <f>F32*1.5/100</f>
        <v>0.45</v>
      </c>
      <c r="K32" s="22">
        <f>E32*40.1/100</f>
        <v>12.03</v>
      </c>
      <c r="L32" s="33">
        <f>F32*40.1/100</f>
        <v>12.03</v>
      </c>
      <c r="M32" s="22">
        <f t="shared" si="3"/>
        <v>61.769999999999996</v>
      </c>
      <c r="N32" s="35">
        <f t="shared" si="3"/>
        <v>61.769999999999996</v>
      </c>
      <c r="O32" s="1"/>
      <c r="P32" s="3"/>
      <c r="Q32" s="5"/>
      <c r="R32" s="5"/>
      <c r="S32" s="5"/>
      <c r="T32" s="5"/>
      <c r="U32" s="1"/>
      <c r="V32" s="3"/>
      <c r="W32" s="5"/>
      <c r="X32" s="5"/>
      <c r="Y32" s="5"/>
      <c r="Z32" s="5"/>
    </row>
    <row r="33" spans="2:26" x14ac:dyDescent="0.25">
      <c r="B33" s="246"/>
      <c r="C33" s="21" t="s">
        <v>80</v>
      </c>
      <c r="D33" s="6" t="s">
        <v>81</v>
      </c>
      <c r="E33" s="62">
        <v>50</v>
      </c>
      <c r="F33" s="63">
        <v>50</v>
      </c>
      <c r="G33" s="22">
        <f>E33*7.6/100</f>
        <v>3.8</v>
      </c>
      <c r="H33" s="33">
        <f>F33*7.6/100</f>
        <v>3.8</v>
      </c>
      <c r="I33" s="22">
        <f>E33*0.8/100</f>
        <v>0.4</v>
      </c>
      <c r="J33" s="33">
        <f>F33*0.8/100</f>
        <v>0.4</v>
      </c>
      <c r="K33" s="22">
        <f>E33*49.2/100</f>
        <v>24.6</v>
      </c>
      <c r="L33" s="33">
        <f>F33*49.2/100</f>
        <v>24.6</v>
      </c>
      <c r="M33" s="22">
        <f t="shared" si="3"/>
        <v>117.2</v>
      </c>
      <c r="N33" s="35">
        <f t="shared" si="3"/>
        <v>117.2</v>
      </c>
      <c r="O33" s="1"/>
      <c r="P33" s="3"/>
      <c r="Q33" s="5" t="s">
        <v>24</v>
      </c>
      <c r="R33" s="5"/>
      <c r="S33" s="5"/>
      <c r="T33" s="5"/>
      <c r="U33" s="1"/>
      <c r="V33" s="3"/>
      <c r="W33" s="5"/>
      <c r="X33" s="5"/>
      <c r="Y33" s="5"/>
      <c r="Z33" s="5"/>
    </row>
    <row r="34" spans="2:26" x14ac:dyDescent="0.25">
      <c r="B34" s="246"/>
      <c r="C34" s="21"/>
      <c r="D34" s="4" t="s">
        <v>14</v>
      </c>
      <c r="E34" s="24">
        <f t="shared" ref="E34:N34" si="4">SUM(E27:E33)</f>
        <v>780</v>
      </c>
      <c r="F34" s="38">
        <f t="shared" si="4"/>
        <v>930</v>
      </c>
      <c r="G34" s="7">
        <f>SUM(G27:G33)</f>
        <v>28.905000000000001</v>
      </c>
      <c r="H34" s="34">
        <f t="shared" si="4"/>
        <v>33.839999999999996</v>
      </c>
      <c r="I34" s="7">
        <f t="shared" si="4"/>
        <v>34.510000000000005</v>
      </c>
      <c r="J34" s="34">
        <f t="shared" si="4"/>
        <v>41.930000000000007</v>
      </c>
      <c r="K34" s="7">
        <f t="shared" si="4"/>
        <v>117.285</v>
      </c>
      <c r="L34" s="34">
        <f t="shared" si="4"/>
        <v>135.59</v>
      </c>
      <c r="M34" s="7">
        <f t="shared" si="4"/>
        <v>895.35000000000014</v>
      </c>
      <c r="N34" s="36">
        <f t="shared" si="4"/>
        <v>1055.0900000000001</v>
      </c>
      <c r="O34" s="1"/>
      <c r="P34" s="3"/>
      <c r="Q34" s="5"/>
      <c r="R34" s="5"/>
      <c r="S34" s="5"/>
      <c r="T34" s="5"/>
      <c r="U34" s="1"/>
      <c r="V34" s="3"/>
      <c r="W34" s="5"/>
      <c r="X34" s="5"/>
      <c r="Y34" s="5"/>
      <c r="Z34" s="5"/>
    </row>
    <row r="35" spans="2:26" ht="15.75" thickBot="1" x14ac:dyDescent="0.3">
      <c r="B35" s="246"/>
      <c r="C35" s="65"/>
      <c r="D35" s="66" t="s">
        <v>12</v>
      </c>
      <c r="E35" s="70"/>
      <c r="F35" s="71"/>
      <c r="G35" s="67">
        <f t="shared" ref="G35:N35" si="5">G25+G34</f>
        <v>47.870000000000005</v>
      </c>
      <c r="H35" s="68">
        <f t="shared" si="5"/>
        <v>54.055</v>
      </c>
      <c r="I35" s="67">
        <f t="shared" si="5"/>
        <v>52.376000000000005</v>
      </c>
      <c r="J35" s="68">
        <f t="shared" si="5"/>
        <v>61.38600000000001</v>
      </c>
      <c r="K35" s="67">
        <f t="shared" si="5"/>
        <v>194.92500000000001</v>
      </c>
      <c r="L35" s="68">
        <f t="shared" si="5"/>
        <v>221.07999999999998</v>
      </c>
      <c r="M35" s="67">
        <f t="shared" si="5"/>
        <v>1442.5640000000003</v>
      </c>
      <c r="N35" s="69">
        <f t="shared" si="5"/>
        <v>1653.0140000000001</v>
      </c>
      <c r="O35" s="1"/>
      <c r="P35" s="3"/>
      <c r="Q35" s="5"/>
      <c r="R35" s="5"/>
      <c r="S35" s="5"/>
      <c r="T35" s="5"/>
      <c r="U35" s="1"/>
      <c r="V35" s="3"/>
      <c r="W35" s="5"/>
      <c r="X35" s="5"/>
      <c r="Y35" s="5"/>
      <c r="Z35" s="5"/>
    </row>
    <row r="36" spans="2:26" ht="15" customHeight="1" x14ac:dyDescent="0.25">
      <c r="B36" s="245" t="s">
        <v>172</v>
      </c>
      <c r="C36" s="242" t="s">
        <v>8</v>
      </c>
      <c r="D36" s="243"/>
      <c r="E36" s="243"/>
      <c r="F36" s="243"/>
      <c r="G36" s="243"/>
      <c r="H36" s="243"/>
      <c r="I36" s="243"/>
      <c r="J36" s="243"/>
      <c r="K36" s="243"/>
      <c r="L36" s="243"/>
      <c r="M36" s="243"/>
      <c r="N36" s="244"/>
    </row>
    <row r="37" spans="2:26" s="92" customFormat="1" x14ac:dyDescent="0.2">
      <c r="B37" s="246"/>
      <c r="C37" s="20" t="s">
        <v>86</v>
      </c>
      <c r="D37" s="9" t="s">
        <v>82</v>
      </c>
      <c r="E37" s="162">
        <v>150</v>
      </c>
      <c r="F37" s="30">
        <v>200</v>
      </c>
      <c r="G37" s="22">
        <f>E37*2.5/100</f>
        <v>3.75</v>
      </c>
      <c r="H37" s="33">
        <f>F37*2.5/100</f>
        <v>5</v>
      </c>
      <c r="I37" s="22">
        <f>E37*3.2/100</f>
        <v>4.8</v>
      </c>
      <c r="J37" s="33">
        <f>F37*3.2/100</f>
        <v>6.4</v>
      </c>
      <c r="K37" s="22">
        <f>E37*13.45/100</f>
        <v>20.175000000000001</v>
      </c>
      <c r="L37" s="33">
        <f>F37*13.46/100</f>
        <v>26.92</v>
      </c>
      <c r="M37" s="22">
        <f t="shared" ref="M37:N39" si="6">G37*4+I37*9+K37*4</f>
        <v>138.9</v>
      </c>
      <c r="N37" s="35">
        <f t="shared" si="6"/>
        <v>185.28</v>
      </c>
      <c r="O37" s="134"/>
    </row>
    <row r="38" spans="2:26" x14ac:dyDescent="0.25">
      <c r="B38" s="246"/>
      <c r="C38" s="96" t="s">
        <v>116</v>
      </c>
      <c r="D38" s="97" t="s">
        <v>117</v>
      </c>
      <c r="E38" s="60">
        <v>10</v>
      </c>
      <c r="F38" s="95">
        <v>10</v>
      </c>
      <c r="G38" s="22">
        <f>E38*0.8/100</f>
        <v>0.08</v>
      </c>
      <c r="H38" s="33">
        <f>F38*0.8/100</f>
        <v>0.08</v>
      </c>
      <c r="I38" s="22">
        <f>E38*72.5/100</f>
        <v>7.25</v>
      </c>
      <c r="J38" s="33">
        <f>F38*72.5/100</f>
        <v>7.25</v>
      </c>
      <c r="K38" s="22">
        <f>E38*1.3/100</f>
        <v>0.13</v>
      </c>
      <c r="L38" s="33">
        <f>F38*1.3/100</f>
        <v>0.13</v>
      </c>
      <c r="M38" s="22">
        <f t="shared" si="6"/>
        <v>66.089999999999989</v>
      </c>
      <c r="N38" s="35">
        <f t="shared" si="6"/>
        <v>66.089999999999989</v>
      </c>
    </row>
    <row r="39" spans="2:26" s="16" customFormat="1" x14ac:dyDescent="0.25">
      <c r="B39" s="246"/>
      <c r="C39" s="20" t="s">
        <v>56</v>
      </c>
      <c r="D39" s="9" t="s">
        <v>57</v>
      </c>
      <c r="E39" s="162">
        <v>200</v>
      </c>
      <c r="F39" s="31">
        <v>200</v>
      </c>
      <c r="G39" s="22">
        <f>E39*1.65/100</f>
        <v>3.3</v>
      </c>
      <c r="H39" s="33">
        <f>F39*1.65/100</f>
        <v>3.3</v>
      </c>
      <c r="I39" s="22">
        <f>E39*1.45/100</f>
        <v>2.9</v>
      </c>
      <c r="J39" s="33">
        <f>F39*1.45/100</f>
        <v>2.9</v>
      </c>
      <c r="K39" s="22">
        <f>E39*6.9/100</f>
        <v>13.8</v>
      </c>
      <c r="L39" s="33">
        <f>F39*6.9/100</f>
        <v>13.8</v>
      </c>
      <c r="M39" s="22">
        <f t="shared" si="6"/>
        <v>94.5</v>
      </c>
      <c r="N39" s="35">
        <f t="shared" si="6"/>
        <v>94.5</v>
      </c>
    </row>
    <row r="40" spans="2:26" s="16" customFormat="1" x14ac:dyDescent="0.25">
      <c r="B40" s="246"/>
      <c r="C40" s="105" t="s">
        <v>183</v>
      </c>
      <c r="D40" s="148" t="s">
        <v>184</v>
      </c>
      <c r="E40" s="112">
        <v>70</v>
      </c>
      <c r="F40" s="113">
        <v>70</v>
      </c>
      <c r="G40" s="121">
        <f>3.8/50*E40</f>
        <v>5.32</v>
      </c>
      <c r="H40" s="114">
        <f>3.08/50*F40</f>
        <v>4.3120000000000003</v>
      </c>
      <c r="I40" s="121">
        <f>3.4/50*E40</f>
        <v>4.7600000000000007</v>
      </c>
      <c r="J40" s="114">
        <f>3.4/50*F40</f>
        <v>4.7600000000000007</v>
      </c>
      <c r="K40" s="121">
        <f>20.9/50*E40</f>
        <v>29.259999999999998</v>
      </c>
      <c r="L40" s="114">
        <f>20.9/50*F40</f>
        <v>29.259999999999998</v>
      </c>
      <c r="M40" s="121">
        <f>4*G40+9*I40+4*K40</f>
        <v>181.16</v>
      </c>
      <c r="N40" s="115">
        <f>4*H40+9*J40+4*L40</f>
        <v>177.12799999999999</v>
      </c>
    </row>
    <row r="41" spans="2:26" s="16" customFormat="1" x14ac:dyDescent="0.25">
      <c r="B41" s="246"/>
      <c r="C41" s="21" t="s">
        <v>79</v>
      </c>
      <c r="D41" s="6" t="s">
        <v>23</v>
      </c>
      <c r="E41" s="62">
        <v>20</v>
      </c>
      <c r="F41" s="63">
        <v>20</v>
      </c>
      <c r="G41" s="22">
        <f>E41*8/100</f>
        <v>1.6</v>
      </c>
      <c r="H41" s="33">
        <f>F41*8/100</f>
        <v>1.6</v>
      </c>
      <c r="I41" s="22">
        <f>E41*1.5/100</f>
        <v>0.3</v>
      </c>
      <c r="J41" s="33">
        <f>F41*1.5/100</f>
        <v>0.3</v>
      </c>
      <c r="K41" s="22">
        <f>E41*40.1/100</f>
        <v>8.02</v>
      </c>
      <c r="L41" s="33">
        <f>F41*40.1/100</f>
        <v>8.02</v>
      </c>
      <c r="M41" s="22">
        <f>G41*4+I41*9+K41*4</f>
        <v>41.18</v>
      </c>
      <c r="N41" s="35">
        <f>H41*4+J41*9+L41*4</f>
        <v>41.18</v>
      </c>
    </row>
    <row r="42" spans="2:26" s="16" customFormat="1" x14ac:dyDescent="0.25">
      <c r="B42" s="246"/>
      <c r="C42" s="21" t="s">
        <v>80</v>
      </c>
      <c r="D42" s="6" t="s">
        <v>81</v>
      </c>
      <c r="E42" s="62">
        <v>20</v>
      </c>
      <c r="F42" s="63">
        <v>20</v>
      </c>
      <c r="G42" s="22">
        <f>E42*7.6/100</f>
        <v>1.52</v>
      </c>
      <c r="H42" s="33">
        <f>F42*7.6/100</f>
        <v>1.52</v>
      </c>
      <c r="I42" s="22">
        <f>E42*0.8/100</f>
        <v>0.16</v>
      </c>
      <c r="J42" s="33">
        <f>F42*0.8/100</f>
        <v>0.16</v>
      </c>
      <c r="K42" s="22">
        <f>E42*49.2/100</f>
        <v>9.84</v>
      </c>
      <c r="L42" s="33">
        <f>F42*49.2/100</f>
        <v>9.84</v>
      </c>
      <c r="M42" s="22">
        <f t="shared" ref="M42:N44" si="7">G42*4+I42*9+K42*4</f>
        <v>46.879999999999995</v>
      </c>
      <c r="N42" s="35">
        <f t="shared" si="7"/>
        <v>46.879999999999995</v>
      </c>
    </row>
    <row r="43" spans="2:26" s="16" customFormat="1" x14ac:dyDescent="0.25">
      <c r="B43" s="246"/>
      <c r="C43" s="21" t="s">
        <v>112</v>
      </c>
      <c r="D43" s="6" t="s">
        <v>113</v>
      </c>
      <c r="E43" s="165">
        <v>150</v>
      </c>
      <c r="F43" s="31">
        <v>150</v>
      </c>
      <c r="G43" s="22">
        <f>E43*0.4/100</f>
        <v>0.6</v>
      </c>
      <c r="H43" s="33">
        <f>F43*0.4/100</f>
        <v>0.6</v>
      </c>
      <c r="I43" s="22">
        <f>E43*0.4/100</f>
        <v>0.6</v>
      </c>
      <c r="J43" s="33">
        <f>F43*0.4/100</f>
        <v>0.6</v>
      </c>
      <c r="K43" s="22">
        <f>E43*9.8/100</f>
        <v>14.7</v>
      </c>
      <c r="L43" s="33">
        <f>F43*9.8/100</f>
        <v>14.7</v>
      </c>
      <c r="M43" s="22">
        <f t="shared" si="7"/>
        <v>66.599999999999994</v>
      </c>
      <c r="N43" s="35">
        <f t="shared" si="7"/>
        <v>66.599999999999994</v>
      </c>
    </row>
    <row r="44" spans="2:26" x14ac:dyDescent="0.25">
      <c r="B44" s="246"/>
      <c r="C44" s="26"/>
      <c r="D44" s="4" t="s">
        <v>13</v>
      </c>
      <c r="E44" s="24">
        <f>SUM(E37:E42)</f>
        <v>470</v>
      </c>
      <c r="F44" s="32">
        <f>SUM(F37:F42)</f>
        <v>520</v>
      </c>
      <c r="G44" s="178">
        <f t="shared" ref="G44:L44" si="8">SUM(G37:G43)</f>
        <v>16.169999999999998</v>
      </c>
      <c r="H44" s="34">
        <f t="shared" si="8"/>
        <v>16.411999999999999</v>
      </c>
      <c r="I44" s="7">
        <f t="shared" si="8"/>
        <v>20.770000000000003</v>
      </c>
      <c r="J44" s="34">
        <f t="shared" si="8"/>
        <v>22.370000000000005</v>
      </c>
      <c r="K44" s="7">
        <f t="shared" si="8"/>
        <v>95.925000000000011</v>
      </c>
      <c r="L44" s="34">
        <f t="shared" si="8"/>
        <v>102.67</v>
      </c>
      <c r="M44" s="7">
        <f t="shared" si="7"/>
        <v>635.31000000000006</v>
      </c>
      <c r="N44" s="36">
        <f t="shared" si="7"/>
        <v>677.65800000000013</v>
      </c>
    </row>
    <row r="45" spans="2:26" x14ac:dyDescent="0.25">
      <c r="B45" s="246"/>
      <c r="C45" s="250" t="s">
        <v>9</v>
      </c>
      <c r="D45" s="251"/>
      <c r="E45" s="251"/>
      <c r="F45" s="251"/>
      <c r="G45" s="251"/>
      <c r="H45" s="251"/>
      <c r="I45" s="251"/>
      <c r="J45" s="251"/>
      <c r="K45" s="251"/>
      <c r="L45" s="251"/>
      <c r="M45" s="251"/>
      <c r="N45" s="252"/>
    </row>
    <row r="46" spans="2:26" x14ac:dyDescent="0.25">
      <c r="B46" s="246"/>
      <c r="C46" s="20" t="s">
        <v>128</v>
      </c>
      <c r="D46" s="9" t="s">
        <v>129</v>
      </c>
      <c r="E46" s="165">
        <v>60</v>
      </c>
      <c r="F46" s="37">
        <v>100</v>
      </c>
      <c r="G46" s="22">
        <f>E46*1.08/100</f>
        <v>0.64800000000000013</v>
      </c>
      <c r="H46" s="33">
        <f>F46*1.08/100</f>
        <v>1.08</v>
      </c>
      <c r="I46" s="22">
        <f>E46*6/100</f>
        <v>3.6</v>
      </c>
      <c r="J46" s="33">
        <f>F46*6/100</f>
        <v>6</v>
      </c>
      <c r="K46" s="22">
        <f>E46*8.9/100</f>
        <v>5.34</v>
      </c>
      <c r="L46" s="33">
        <f>F46*8.9/100</f>
        <v>8.9</v>
      </c>
      <c r="M46" s="23">
        <f t="shared" ref="M46:N53" si="9">G46*4+I46*9+K46*4</f>
        <v>56.351999999999997</v>
      </c>
      <c r="N46" s="41">
        <f t="shared" si="9"/>
        <v>93.92</v>
      </c>
    </row>
    <row r="47" spans="2:26" s="16" customFormat="1" x14ac:dyDescent="0.25">
      <c r="B47" s="246"/>
      <c r="C47" s="78" t="s">
        <v>118</v>
      </c>
      <c r="D47" s="50" t="s">
        <v>119</v>
      </c>
      <c r="E47" s="61">
        <v>200</v>
      </c>
      <c r="F47" s="43">
        <v>250</v>
      </c>
      <c r="G47" s="23">
        <f>E47*2.6/250</f>
        <v>2.08</v>
      </c>
      <c r="H47" s="44">
        <f>F47*2.6/250</f>
        <v>2.6</v>
      </c>
      <c r="I47" s="23">
        <f>E47*5.3/250</f>
        <v>4.24</v>
      </c>
      <c r="J47" s="44">
        <f>F47*5.3/250</f>
        <v>5.3</v>
      </c>
      <c r="K47" s="23">
        <f>E47*14.3/250</f>
        <v>11.44</v>
      </c>
      <c r="L47" s="44">
        <f>F47*14.3/250</f>
        <v>14.3</v>
      </c>
      <c r="M47" s="23">
        <f t="shared" si="9"/>
        <v>92.240000000000009</v>
      </c>
      <c r="N47" s="41">
        <f t="shared" si="9"/>
        <v>115.3</v>
      </c>
    </row>
    <row r="48" spans="2:26" x14ac:dyDescent="0.25">
      <c r="B48" s="246"/>
      <c r="C48" s="20" t="s">
        <v>20</v>
      </c>
      <c r="D48" s="9" t="s">
        <v>21</v>
      </c>
      <c r="E48" s="60">
        <v>150</v>
      </c>
      <c r="F48" s="31">
        <v>180</v>
      </c>
      <c r="G48" s="22">
        <f>E48*2.1/100</f>
        <v>3.15</v>
      </c>
      <c r="H48" s="33">
        <f>F48*2.1/100</f>
        <v>3.78</v>
      </c>
      <c r="I48" s="22">
        <f>E48*3.5/100</f>
        <v>5.25</v>
      </c>
      <c r="J48" s="33">
        <f>F48*3.5/100</f>
        <v>6.3</v>
      </c>
      <c r="K48" s="22">
        <f>E48*14.6/100</f>
        <v>21.9</v>
      </c>
      <c r="L48" s="33">
        <f>F48*14.6/100</f>
        <v>26.28</v>
      </c>
      <c r="M48" s="22">
        <f t="shared" si="9"/>
        <v>147.44999999999999</v>
      </c>
      <c r="N48" s="35">
        <f t="shared" si="9"/>
        <v>176.94</v>
      </c>
    </row>
    <row r="49" spans="2:14" s="16" customFormat="1" x14ac:dyDescent="0.25">
      <c r="B49" s="246"/>
      <c r="C49" s="21" t="s">
        <v>260</v>
      </c>
      <c r="D49" s="6" t="s">
        <v>261</v>
      </c>
      <c r="E49" s="140">
        <v>90</v>
      </c>
      <c r="F49" s="31">
        <v>100</v>
      </c>
      <c r="G49" s="22">
        <f>E49*18.6/100</f>
        <v>16.740000000000002</v>
      </c>
      <c r="H49" s="33">
        <f>F49*18.6/100</f>
        <v>18.600000000000001</v>
      </c>
      <c r="I49" s="22">
        <f>E49*6.8/100</f>
        <v>6.12</v>
      </c>
      <c r="J49" s="33">
        <f>F49*6.8/100</f>
        <v>6.8</v>
      </c>
      <c r="K49" s="22">
        <f>E49*4.2/100</f>
        <v>3.78</v>
      </c>
      <c r="L49" s="33">
        <f>F49*4.2/100</f>
        <v>4.2</v>
      </c>
      <c r="M49" s="22">
        <f t="shared" si="9"/>
        <v>137.16</v>
      </c>
      <c r="N49" s="35">
        <f t="shared" si="9"/>
        <v>152.4</v>
      </c>
    </row>
    <row r="50" spans="2:14" s="16" customFormat="1" x14ac:dyDescent="0.25">
      <c r="B50" s="246"/>
      <c r="C50" s="20" t="s">
        <v>62</v>
      </c>
      <c r="D50" s="9" t="s">
        <v>63</v>
      </c>
      <c r="E50" s="60">
        <v>50</v>
      </c>
      <c r="F50" s="31">
        <v>50</v>
      </c>
      <c r="G50" s="22">
        <f>E50*1.3/50</f>
        <v>1.3</v>
      </c>
      <c r="H50" s="33">
        <f>F50*1.3/50</f>
        <v>1.3</v>
      </c>
      <c r="I50" s="22">
        <f>E50*4.8/50</f>
        <v>4.8</v>
      </c>
      <c r="J50" s="33">
        <f>F50*4.8/50</f>
        <v>4.8</v>
      </c>
      <c r="K50" s="22">
        <f>E50*4.7/50</f>
        <v>4.7</v>
      </c>
      <c r="L50" s="33">
        <f>F50*4.7/50</f>
        <v>4.7</v>
      </c>
      <c r="M50" s="22">
        <f t="shared" si="9"/>
        <v>67.2</v>
      </c>
      <c r="N50" s="35">
        <f t="shared" si="9"/>
        <v>67.2</v>
      </c>
    </row>
    <row r="51" spans="2:14" x14ac:dyDescent="0.25">
      <c r="B51" s="246"/>
      <c r="C51" s="21" t="s">
        <v>161</v>
      </c>
      <c r="D51" s="6" t="s">
        <v>162</v>
      </c>
      <c r="E51" s="132">
        <v>200</v>
      </c>
      <c r="F51" s="31">
        <v>200</v>
      </c>
      <c r="G51" s="22">
        <f>E51*0.1/200</f>
        <v>0.1</v>
      </c>
      <c r="H51" s="33">
        <f>F51*0.1/200</f>
        <v>0.1</v>
      </c>
      <c r="I51" s="98">
        <f>E51*0/100</f>
        <v>0</v>
      </c>
      <c r="J51" s="33">
        <f>F51*0.07/100</f>
        <v>0.14000000000000001</v>
      </c>
      <c r="K51" s="22">
        <f>E51*24.2/200</f>
        <v>24.2</v>
      </c>
      <c r="L51" s="33">
        <f>F51*16.59/200</f>
        <v>16.59</v>
      </c>
      <c r="M51" s="22">
        <f t="shared" si="9"/>
        <v>97.2</v>
      </c>
      <c r="N51" s="35">
        <f t="shared" si="9"/>
        <v>68.02</v>
      </c>
    </row>
    <row r="52" spans="2:14" x14ac:dyDescent="0.25">
      <c r="B52" s="246"/>
      <c r="C52" s="21" t="s">
        <v>79</v>
      </c>
      <c r="D52" s="6" t="s">
        <v>23</v>
      </c>
      <c r="E52" s="62">
        <v>30</v>
      </c>
      <c r="F52" s="63">
        <v>30</v>
      </c>
      <c r="G52" s="22">
        <f>E52*8/100</f>
        <v>2.4</v>
      </c>
      <c r="H52" s="33">
        <f>F52*8/100</f>
        <v>2.4</v>
      </c>
      <c r="I52" s="22">
        <f>E52*1.5/100</f>
        <v>0.45</v>
      </c>
      <c r="J52" s="33">
        <f>F52*1.5/100</f>
        <v>0.45</v>
      </c>
      <c r="K52" s="22">
        <f>E52*40.1/100</f>
        <v>12.03</v>
      </c>
      <c r="L52" s="33">
        <f>F52*40.1/100</f>
        <v>12.03</v>
      </c>
      <c r="M52" s="22">
        <f t="shared" si="9"/>
        <v>61.769999999999996</v>
      </c>
      <c r="N52" s="35">
        <f t="shared" si="9"/>
        <v>61.769999999999996</v>
      </c>
    </row>
    <row r="53" spans="2:14" x14ac:dyDescent="0.25">
      <c r="B53" s="246"/>
      <c r="C53" s="21" t="s">
        <v>80</v>
      </c>
      <c r="D53" s="6" t="s">
        <v>81</v>
      </c>
      <c r="E53" s="62">
        <v>50</v>
      </c>
      <c r="F53" s="63">
        <v>50</v>
      </c>
      <c r="G53" s="22">
        <f>E53*7.6/100</f>
        <v>3.8</v>
      </c>
      <c r="H53" s="33">
        <f>F53*7.6/100</f>
        <v>3.8</v>
      </c>
      <c r="I53" s="22">
        <f>E53*0.8/100</f>
        <v>0.4</v>
      </c>
      <c r="J53" s="33">
        <f>F53*0.8/100</f>
        <v>0.4</v>
      </c>
      <c r="K53" s="22">
        <f>E53*49.2/100</f>
        <v>24.6</v>
      </c>
      <c r="L53" s="33">
        <f>F53*49.2/100</f>
        <v>24.6</v>
      </c>
      <c r="M53" s="22">
        <f t="shared" si="9"/>
        <v>117.2</v>
      </c>
      <c r="N53" s="35">
        <f t="shared" si="9"/>
        <v>117.2</v>
      </c>
    </row>
    <row r="54" spans="2:14" x14ac:dyDescent="0.25">
      <c r="B54" s="246"/>
      <c r="C54" s="21"/>
      <c r="D54" s="4" t="s">
        <v>14</v>
      </c>
      <c r="E54" s="24">
        <f t="shared" ref="E54:N54" si="10">SUM(E46:E53)</f>
        <v>830</v>
      </c>
      <c r="F54" s="38">
        <f t="shared" si="10"/>
        <v>960</v>
      </c>
      <c r="G54" s="7">
        <f t="shared" si="10"/>
        <v>30.218000000000004</v>
      </c>
      <c r="H54" s="34">
        <f t="shared" si="10"/>
        <v>33.660000000000004</v>
      </c>
      <c r="I54" s="24">
        <f t="shared" si="10"/>
        <v>24.86</v>
      </c>
      <c r="J54" s="34">
        <f t="shared" si="10"/>
        <v>30.19</v>
      </c>
      <c r="K54" s="178">
        <f t="shared" si="10"/>
        <v>107.99000000000001</v>
      </c>
      <c r="L54" s="34">
        <f t="shared" si="10"/>
        <v>111.60000000000002</v>
      </c>
      <c r="M54" s="7">
        <f t="shared" si="10"/>
        <v>776.572</v>
      </c>
      <c r="N54" s="36">
        <f t="shared" si="10"/>
        <v>852.75</v>
      </c>
    </row>
    <row r="55" spans="2:14" ht="15.75" thickBot="1" x14ac:dyDescent="0.3">
      <c r="B55" s="246"/>
      <c r="C55" s="65"/>
      <c r="D55" s="66" t="s">
        <v>12</v>
      </c>
      <c r="E55" s="70"/>
      <c r="F55" s="71"/>
      <c r="G55" s="67">
        <f t="shared" ref="G55:N55" si="11">G44+G54</f>
        <v>46.388000000000005</v>
      </c>
      <c r="H55" s="68">
        <f t="shared" si="11"/>
        <v>50.072000000000003</v>
      </c>
      <c r="I55" s="67">
        <f t="shared" si="11"/>
        <v>45.63</v>
      </c>
      <c r="J55" s="68">
        <f t="shared" si="11"/>
        <v>52.56</v>
      </c>
      <c r="K55" s="67">
        <f t="shared" si="11"/>
        <v>203.91500000000002</v>
      </c>
      <c r="L55" s="68">
        <f t="shared" si="11"/>
        <v>214.27000000000004</v>
      </c>
      <c r="M55" s="67">
        <f t="shared" si="11"/>
        <v>1411.8820000000001</v>
      </c>
      <c r="N55" s="69">
        <f t="shared" si="11"/>
        <v>1530.4080000000001</v>
      </c>
    </row>
    <row r="56" spans="2:14" x14ac:dyDescent="0.25">
      <c r="B56" s="247" t="s">
        <v>173</v>
      </c>
      <c r="C56" s="242" t="s">
        <v>8</v>
      </c>
      <c r="D56" s="243"/>
      <c r="E56" s="243"/>
      <c r="F56" s="243"/>
      <c r="G56" s="243"/>
      <c r="H56" s="243"/>
      <c r="I56" s="243"/>
      <c r="J56" s="243"/>
      <c r="K56" s="243"/>
      <c r="L56" s="243"/>
      <c r="M56" s="243"/>
      <c r="N56" s="244"/>
    </row>
    <row r="57" spans="2:14" ht="25.5" x14ac:dyDescent="0.25">
      <c r="B57" s="248"/>
      <c r="C57" s="20" t="s">
        <v>77</v>
      </c>
      <c r="D57" s="8" t="s">
        <v>78</v>
      </c>
      <c r="E57" s="131">
        <v>200</v>
      </c>
      <c r="F57" s="133">
        <v>250</v>
      </c>
      <c r="G57" s="23">
        <f>E57*2.8/100</f>
        <v>5.6</v>
      </c>
      <c r="H57" s="44">
        <f>F57*2.8/100</f>
        <v>7</v>
      </c>
      <c r="I57" s="23">
        <f>E57*3.16/100</f>
        <v>6.32</v>
      </c>
      <c r="J57" s="44">
        <f>F57*3.16/100</f>
        <v>7.9</v>
      </c>
      <c r="K57" s="23">
        <f>E57*9.88/100</f>
        <v>19.760000000000002</v>
      </c>
      <c r="L57" s="44">
        <f>F57*9.88/100</f>
        <v>24.7</v>
      </c>
      <c r="M57" s="23">
        <f t="shared" ref="M57:N60" si="12">G57*4+I57*9+K57*4</f>
        <v>158.32</v>
      </c>
      <c r="N57" s="41">
        <f t="shared" si="12"/>
        <v>197.9</v>
      </c>
    </row>
    <row r="58" spans="2:14" s="16" customFormat="1" x14ac:dyDescent="0.25">
      <c r="B58" s="248"/>
      <c r="C58" s="96" t="s">
        <v>110</v>
      </c>
      <c r="D58" s="97" t="s">
        <v>111</v>
      </c>
      <c r="E58" s="162">
        <v>15</v>
      </c>
      <c r="F58" s="95">
        <v>20</v>
      </c>
      <c r="G58" s="22">
        <f>E58*23.2/100</f>
        <v>3.48</v>
      </c>
      <c r="H58" s="33">
        <f>F58*23.2/100</f>
        <v>4.6399999999999997</v>
      </c>
      <c r="I58" s="22">
        <f>E58*29.5/100</f>
        <v>4.4249999999999998</v>
      </c>
      <c r="J58" s="33">
        <f>F58*29.5/100</f>
        <v>5.9</v>
      </c>
      <c r="K58" s="22">
        <f>E58*0/100</f>
        <v>0</v>
      </c>
      <c r="L58" s="33">
        <f>F58*0/100</f>
        <v>0</v>
      </c>
      <c r="M58" s="22">
        <f t="shared" si="12"/>
        <v>53.744999999999997</v>
      </c>
      <c r="N58" s="35">
        <f t="shared" si="12"/>
        <v>71.66</v>
      </c>
    </row>
    <row r="59" spans="2:14" s="16" customFormat="1" x14ac:dyDescent="0.25">
      <c r="B59" s="248"/>
      <c r="C59" s="20" t="s">
        <v>45</v>
      </c>
      <c r="D59" s="9" t="s">
        <v>16</v>
      </c>
      <c r="E59" s="60">
        <v>200</v>
      </c>
      <c r="F59" s="31">
        <v>200</v>
      </c>
      <c r="G59" s="22">
        <f>E59*0.2/200</f>
        <v>0.2</v>
      </c>
      <c r="H59" s="33">
        <f>F59*0.2/200</f>
        <v>0.2</v>
      </c>
      <c r="I59" s="22">
        <f>E59*0.1/200</f>
        <v>0.1</v>
      </c>
      <c r="J59" s="33">
        <f>F59*0.1/200</f>
        <v>0.1</v>
      </c>
      <c r="K59" s="22">
        <f>E59*9.3/200</f>
        <v>9.3000000000000007</v>
      </c>
      <c r="L59" s="33">
        <f>F59*9.3/200</f>
        <v>9.3000000000000007</v>
      </c>
      <c r="M59" s="22">
        <f t="shared" si="12"/>
        <v>38.900000000000006</v>
      </c>
      <c r="N59" s="35">
        <f t="shared" si="12"/>
        <v>38.900000000000006</v>
      </c>
    </row>
    <row r="60" spans="2:14" s="16" customFormat="1" x14ac:dyDescent="0.25">
      <c r="B60" s="248"/>
      <c r="C60" s="120" t="s">
        <v>191</v>
      </c>
      <c r="D60" s="106" t="s">
        <v>192</v>
      </c>
      <c r="E60" s="112">
        <v>50</v>
      </c>
      <c r="F60" s="113">
        <v>50</v>
      </c>
      <c r="G60" s="121">
        <f>E60*4.8/75</f>
        <v>3.2</v>
      </c>
      <c r="H60" s="114">
        <f>F60*4.8/75</f>
        <v>3.2</v>
      </c>
      <c r="I60" s="121">
        <f>E60*8.5/75</f>
        <v>5.666666666666667</v>
      </c>
      <c r="J60" s="114">
        <f>F60*8.5/75</f>
        <v>5.666666666666667</v>
      </c>
      <c r="K60" s="121">
        <f>E60*48.4/75</f>
        <v>32.266666666666666</v>
      </c>
      <c r="L60" s="114">
        <f>F60*48.4/75</f>
        <v>32.266666666666666</v>
      </c>
      <c r="M60" s="121">
        <f t="shared" si="12"/>
        <v>192.86666666666667</v>
      </c>
      <c r="N60" s="115">
        <f t="shared" si="12"/>
        <v>192.86666666666667</v>
      </c>
    </row>
    <row r="61" spans="2:14" s="16" customFormat="1" x14ac:dyDescent="0.25">
      <c r="B61" s="248"/>
      <c r="C61" s="21" t="s">
        <v>79</v>
      </c>
      <c r="D61" s="6" t="s">
        <v>23</v>
      </c>
      <c r="E61" s="62">
        <v>20</v>
      </c>
      <c r="F61" s="63">
        <v>20</v>
      </c>
      <c r="G61" s="22">
        <f>E61*8/100</f>
        <v>1.6</v>
      </c>
      <c r="H61" s="33">
        <f>F61*8/100</f>
        <v>1.6</v>
      </c>
      <c r="I61" s="22">
        <f>E61*1.5/100</f>
        <v>0.3</v>
      </c>
      <c r="J61" s="33">
        <f>F61*1.5/100</f>
        <v>0.3</v>
      </c>
      <c r="K61" s="22">
        <f>E61*40.1/100</f>
        <v>8.02</v>
      </c>
      <c r="L61" s="33">
        <f>F61*40.1/100</f>
        <v>8.02</v>
      </c>
      <c r="M61" s="22">
        <f t="shared" ref="M61" si="13">G61*4+I61*9+K61*4</f>
        <v>41.18</v>
      </c>
      <c r="N61" s="35">
        <f t="shared" ref="N61" si="14">H61*4+J61*9+L61*4</f>
        <v>41.18</v>
      </c>
    </row>
    <row r="62" spans="2:14" x14ac:dyDescent="0.25">
      <c r="B62" s="248"/>
      <c r="C62" s="21" t="s">
        <v>80</v>
      </c>
      <c r="D62" s="6" t="s">
        <v>81</v>
      </c>
      <c r="E62" s="62">
        <v>20</v>
      </c>
      <c r="F62" s="63">
        <v>20</v>
      </c>
      <c r="G62" s="22">
        <f>E62*7.6/100</f>
        <v>1.52</v>
      </c>
      <c r="H62" s="33">
        <f>F62*7.6/100</f>
        <v>1.52</v>
      </c>
      <c r="I62" s="22">
        <f>E62*0.8/100</f>
        <v>0.16</v>
      </c>
      <c r="J62" s="33">
        <f>F62*0.8/100</f>
        <v>0.16</v>
      </c>
      <c r="K62" s="22">
        <f>E62*49.2/100</f>
        <v>9.84</v>
      </c>
      <c r="L62" s="33">
        <f>F62*49.2/100</f>
        <v>9.84</v>
      </c>
      <c r="M62" s="22">
        <f>G62*4+I62*9+K62*4</f>
        <v>46.879999999999995</v>
      </c>
      <c r="N62" s="35">
        <f>H62*4+J62*9+L62*4</f>
        <v>46.879999999999995</v>
      </c>
    </row>
    <row r="63" spans="2:14" s="16" customFormat="1" x14ac:dyDescent="0.25">
      <c r="B63" s="248"/>
      <c r="C63" s="21" t="s">
        <v>112</v>
      </c>
      <c r="D63" s="6" t="s">
        <v>113</v>
      </c>
      <c r="E63" s="165">
        <v>150</v>
      </c>
      <c r="F63" s="31">
        <v>150</v>
      </c>
      <c r="G63" s="22">
        <f>E63*0.4/100</f>
        <v>0.6</v>
      </c>
      <c r="H63" s="33">
        <f>F63*0.4/100</f>
        <v>0.6</v>
      </c>
      <c r="I63" s="22">
        <f>E63*0.4/100</f>
        <v>0.6</v>
      </c>
      <c r="J63" s="33">
        <f>F63*0.4/100</f>
        <v>0.6</v>
      </c>
      <c r="K63" s="22">
        <f>E63*9.8/100</f>
        <v>14.7</v>
      </c>
      <c r="L63" s="33">
        <f>F63*9.8/100</f>
        <v>14.7</v>
      </c>
      <c r="M63" s="22">
        <f t="shared" ref="M63" si="15">G63*4+I63*9+K63*4</f>
        <v>66.599999999999994</v>
      </c>
      <c r="N63" s="35">
        <f t="shared" ref="N63" si="16">H63*4+J63*9+L63*4</f>
        <v>66.599999999999994</v>
      </c>
    </row>
    <row r="64" spans="2:14" x14ac:dyDescent="0.25">
      <c r="B64" s="248"/>
      <c r="C64" s="26"/>
      <c r="D64" s="4" t="s">
        <v>13</v>
      </c>
      <c r="E64" s="24">
        <f>SUM(E57:E62)</f>
        <v>505</v>
      </c>
      <c r="F64" s="38">
        <f>SUM(F57:F62)</f>
        <v>560</v>
      </c>
      <c r="G64" s="178">
        <f t="shared" ref="G64:L64" si="17">SUM(G57:G63)</f>
        <v>16.2</v>
      </c>
      <c r="H64" s="34">
        <f t="shared" si="17"/>
        <v>18.760000000000002</v>
      </c>
      <c r="I64" s="7">
        <f t="shared" si="17"/>
        <v>17.571666666666669</v>
      </c>
      <c r="J64" s="34">
        <f t="shared" si="17"/>
        <v>20.626666666666669</v>
      </c>
      <c r="K64" s="7">
        <f t="shared" si="17"/>
        <v>93.88666666666667</v>
      </c>
      <c r="L64" s="34">
        <f t="shared" si="17"/>
        <v>98.826666666666668</v>
      </c>
      <c r="M64" s="7">
        <f>4*G64+9*I64+4*K64</f>
        <v>598.49166666666667</v>
      </c>
      <c r="N64" s="34">
        <f>4*H64+9*J64+4*L64</f>
        <v>655.98666666666668</v>
      </c>
    </row>
    <row r="65" spans="2:14" x14ac:dyDescent="0.25">
      <c r="B65" s="248"/>
      <c r="C65" s="235" t="s">
        <v>9</v>
      </c>
      <c r="D65" s="236"/>
      <c r="E65" s="236"/>
      <c r="F65" s="236"/>
      <c r="G65" s="236"/>
      <c r="H65" s="236"/>
      <c r="I65" s="236"/>
      <c r="J65" s="236"/>
      <c r="K65" s="236"/>
      <c r="L65" s="236"/>
      <c r="M65" s="236"/>
      <c r="N65" s="237"/>
    </row>
    <row r="66" spans="2:14" x14ac:dyDescent="0.25">
      <c r="B66" s="248"/>
      <c r="C66" s="58" t="s">
        <v>262</v>
      </c>
      <c r="D66" s="168" t="s">
        <v>263</v>
      </c>
      <c r="E66" s="169">
        <v>60</v>
      </c>
      <c r="F66" s="170">
        <v>100</v>
      </c>
      <c r="G66" s="171">
        <f>2.9/100*E66</f>
        <v>1.7399999999999998</v>
      </c>
      <c r="H66" s="172">
        <f>2.9/100*F66</f>
        <v>2.9</v>
      </c>
      <c r="I66" s="171">
        <f>11.89/100*E66</f>
        <v>7.1340000000000003</v>
      </c>
      <c r="J66" s="172">
        <f>11.89/100*F66</f>
        <v>11.89</v>
      </c>
      <c r="K66" s="171">
        <f>5.74/100*E66</f>
        <v>3.444</v>
      </c>
      <c r="L66" s="172">
        <f>5.74/100*F66</f>
        <v>5.74</v>
      </c>
      <c r="M66" s="171">
        <f>4*G66+9*I66+4*K66</f>
        <v>84.941999999999993</v>
      </c>
      <c r="N66" s="173">
        <f>4*H66+9*J66+4*L66</f>
        <v>141.57</v>
      </c>
    </row>
    <row r="67" spans="2:14" s="16" customFormat="1" ht="16.5" customHeight="1" x14ac:dyDescent="0.25">
      <c r="B67" s="248"/>
      <c r="C67" s="20" t="s">
        <v>271</v>
      </c>
      <c r="D67" s="106" t="s">
        <v>152</v>
      </c>
      <c r="E67" s="176">
        <v>200</v>
      </c>
      <c r="F67" s="43">
        <v>250</v>
      </c>
      <c r="G67" s="22">
        <f>E67*1.84/100</f>
        <v>3.68</v>
      </c>
      <c r="H67" s="33">
        <f>F67*1.84/100</f>
        <v>4.5999999999999996</v>
      </c>
      <c r="I67" s="22">
        <f>E67*2.91/100</f>
        <v>5.82</v>
      </c>
      <c r="J67" s="33">
        <f>F67*2.91/100</f>
        <v>7.2750000000000004</v>
      </c>
      <c r="K67" s="22">
        <f>E67*5.62/100</f>
        <v>11.24</v>
      </c>
      <c r="L67" s="33">
        <f>F67*5.62/100</f>
        <v>14.05</v>
      </c>
      <c r="M67" s="23">
        <f t="shared" ref="M67:N67" si="18">G67*4+I67*9+K67*4</f>
        <v>112.06</v>
      </c>
      <c r="N67" s="41">
        <f t="shared" si="18"/>
        <v>140.07499999999999</v>
      </c>
    </row>
    <row r="68" spans="2:14" s="16" customFormat="1" ht="15" customHeight="1" x14ac:dyDescent="0.25">
      <c r="B68" s="248"/>
      <c r="C68" s="21" t="s">
        <v>224</v>
      </c>
      <c r="D68" s="6" t="s">
        <v>225</v>
      </c>
      <c r="E68" s="165">
        <v>150</v>
      </c>
      <c r="F68" s="31">
        <v>180</v>
      </c>
      <c r="G68" s="22">
        <f>E68*2.85/100</f>
        <v>4.2750000000000004</v>
      </c>
      <c r="H68" s="33">
        <f>F68*2.85/100</f>
        <v>5.13</v>
      </c>
      <c r="I68" s="22">
        <f>E68*3.25/100</f>
        <v>4.875</v>
      </c>
      <c r="J68" s="33">
        <f>F68*3.25/100</f>
        <v>5.85</v>
      </c>
      <c r="K68" s="22">
        <f>E68*16.3/100</f>
        <v>24.45</v>
      </c>
      <c r="L68" s="33">
        <f>F68*16.3/100</f>
        <v>29.34</v>
      </c>
      <c r="M68" s="22">
        <f t="shared" ref="M68:N71" si="19">G68*4+I68*9+K68*4</f>
        <v>158.77500000000001</v>
      </c>
      <c r="N68" s="35">
        <f t="shared" si="19"/>
        <v>190.53</v>
      </c>
    </row>
    <row r="69" spans="2:14" x14ac:dyDescent="0.25">
      <c r="B69" s="248"/>
      <c r="C69" s="20" t="s">
        <v>153</v>
      </c>
      <c r="D69" s="8" t="s">
        <v>154</v>
      </c>
      <c r="E69" s="162">
        <v>90</v>
      </c>
      <c r="F69" s="31">
        <v>100</v>
      </c>
      <c r="G69" s="22">
        <f>E69*12.64/80</f>
        <v>14.220000000000002</v>
      </c>
      <c r="H69" s="33">
        <f>F69*12.64/80</f>
        <v>15.8</v>
      </c>
      <c r="I69" s="22">
        <f>E69*13.14/80</f>
        <v>14.782500000000002</v>
      </c>
      <c r="J69" s="33">
        <f>F69*13.14/80</f>
        <v>16.425000000000001</v>
      </c>
      <c r="K69" s="22">
        <f>E69*7.23/80</f>
        <v>8.1337500000000009</v>
      </c>
      <c r="L69" s="33">
        <f>F69*7.23/80</f>
        <v>9.0374999999999996</v>
      </c>
      <c r="M69" s="22">
        <f t="shared" si="19"/>
        <v>222.45750000000001</v>
      </c>
      <c r="N69" s="35">
        <f t="shared" si="19"/>
        <v>247.17500000000004</v>
      </c>
    </row>
    <row r="70" spans="2:14" s="16" customFormat="1" x14ac:dyDescent="0.25">
      <c r="B70" s="248"/>
      <c r="C70" s="20" t="s">
        <v>62</v>
      </c>
      <c r="D70" s="9" t="s">
        <v>63</v>
      </c>
      <c r="E70" s="162">
        <v>40</v>
      </c>
      <c r="F70" s="31">
        <v>50</v>
      </c>
      <c r="G70" s="22">
        <f>E70*1.3/50</f>
        <v>1.04</v>
      </c>
      <c r="H70" s="33">
        <f>F70*1.3/50</f>
        <v>1.3</v>
      </c>
      <c r="I70" s="22">
        <f>E70*4.8/50</f>
        <v>3.84</v>
      </c>
      <c r="J70" s="33">
        <f>F70*4.8/50</f>
        <v>4.8</v>
      </c>
      <c r="K70" s="22">
        <f>E70*4.7/50</f>
        <v>3.76</v>
      </c>
      <c r="L70" s="33">
        <f>F70*4.7/50</f>
        <v>4.7</v>
      </c>
      <c r="M70" s="22">
        <f t="shared" si="19"/>
        <v>53.76</v>
      </c>
      <c r="N70" s="35">
        <f t="shared" si="19"/>
        <v>67.2</v>
      </c>
    </row>
    <row r="71" spans="2:14" x14ac:dyDescent="0.25">
      <c r="B71" s="248"/>
      <c r="C71" s="20" t="s">
        <v>130</v>
      </c>
      <c r="D71" s="9" t="s">
        <v>131</v>
      </c>
      <c r="E71" s="165">
        <v>200</v>
      </c>
      <c r="F71" s="31">
        <v>200</v>
      </c>
      <c r="G71" s="22">
        <f>E71*0.67/200</f>
        <v>0.67</v>
      </c>
      <c r="H71" s="33">
        <f>F71*0.67/200</f>
        <v>0.67</v>
      </c>
      <c r="I71" s="22">
        <f>E71*0.27/200</f>
        <v>0.27</v>
      </c>
      <c r="J71" s="33">
        <f>F71*0.27/200</f>
        <v>0.27</v>
      </c>
      <c r="K71" s="22">
        <f>E71*18.3/200</f>
        <v>18.3</v>
      </c>
      <c r="L71" s="33">
        <f>F71*18.3/200</f>
        <v>18.3</v>
      </c>
      <c r="M71" s="22">
        <f t="shared" si="19"/>
        <v>78.31</v>
      </c>
      <c r="N71" s="35">
        <f t="shared" si="19"/>
        <v>78.31</v>
      </c>
    </row>
    <row r="72" spans="2:14" s="16" customFormat="1" x14ac:dyDescent="0.25">
      <c r="B72" s="248"/>
      <c r="C72" s="21" t="s">
        <v>79</v>
      </c>
      <c r="D72" s="6" t="s">
        <v>23</v>
      </c>
      <c r="E72" s="62">
        <v>30</v>
      </c>
      <c r="F72" s="63">
        <v>30</v>
      </c>
      <c r="G72" s="22">
        <f>E72*8/100</f>
        <v>2.4</v>
      </c>
      <c r="H72" s="33">
        <f>F72*8/100</f>
        <v>2.4</v>
      </c>
      <c r="I72" s="22">
        <f>E72*1.5/100</f>
        <v>0.45</v>
      </c>
      <c r="J72" s="33">
        <f>F72*1.5/100</f>
        <v>0.45</v>
      </c>
      <c r="K72" s="22">
        <f>E72*40.1/100</f>
        <v>12.03</v>
      </c>
      <c r="L72" s="33">
        <f>F72*40.1/100</f>
        <v>12.03</v>
      </c>
      <c r="M72" s="22">
        <f t="shared" ref="M72:N73" si="20">G72*4+I72*9+K72*4</f>
        <v>61.769999999999996</v>
      </c>
      <c r="N72" s="35">
        <f t="shared" si="20"/>
        <v>61.769999999999996</v>
      </c>
    </row>
    <row r="73" spans="2:14" x14ac:dyDescent="0.25">
      <c r="B73" s="248"/>
      <c r="C73" s="21" t="s">
        <v>80</v>
      </c>
      <c r="D73" s="6" t="s">
        <v>81</v>
      </c>
      <c r="E73" s="62">
        <v>50</v>
      </c>
      <c r="F73" s="63">
        <v>50</v>
      </c>
      <c r="G73" s="22">
        <f>E73*7.6/100</f>
        <v>3.8</v>
      </c>
      <c r="H73" s="33">
        <f>F73*7.6/100</f>
        <v>3.8</v>
      </c>
      <c r="I73" s="22">
        <f>E73*0.8/100</f>
        <v>0.4</v>
      </c>
      <c r="J73" s="33">
        <f>F73*0.8/100</f>
        <v>0.4</v>
      </c>
      <c r="K73" s="22">
        <f>E73*49.2/100</f>
        <v>24.6</v>
      </c>
      <c r="L73" s="33">
        <f>F73*49.2/100</f>
        <v>24.6</v>
      </c>
      <c r="M73" s="22">
        <f t="shared" si="20"/>
        <v>117.2</v>
      </c>
      <c r="N73" s="35">
        <f t="shared" si="20"/>
        <v>117.2</v>
      </c>
    </row>
    <row r="74" spans="2:14" x14ac:dyDescent="0.25">
      <c r="B74" s="248"/>
      <c r="C74" s="21"/>
      <c r="D74" s="4" t="s">
        <v>14</v>
      </c>
      <c r="E74" s="24">
        <f t="shared" ref="E74:N74" si="21">SUM(E66:E73)</f>
        <v>820</v>
      </c>
      <c r="F74" s="38">
        <f t="shared" si="21"/>
        <v>960</v>
      </c>
      <c r="G74" s="7">
        <f>SUM(G66:G73)</f>
        <v>31.825000000000003</v>
      </c>
      <c r="H74" s="34">
        <f t="shared" si="21"/>
        <v>36.6</v>
      </c>
      <c r="I74" s="24">
        <f t="shared" si="21"/>
        <v>37.571500000000015</v>
      </c>
      <c r="J74" s="34">
        <f t="shared" si="21"/>
        <v>47.36</v>
      </c>
      <c r="K74" s="178">
        <f>SUM(K66:K73)</f>
        <v>105.95775</v>
      </c>
      <c r="L74" s="34">
        <f t="shared" si="21"/>
        <v>117.79750000000001</v>
      </c>
      <c r="M74" s="7">
        <f>SUM(M66:M73)</f>
        <v>889.27449999999999</v>
      </c>
      <c r="N74" s="36">
        <f t="shared" si="21"/>
        <v>1043.8300000000002</v>
      </c>
    </row>
    <row r="75" spans="2:14" ht="15.75" thickBot="1" x14ac:dyDescent="0.3">
      <c r="B75" s="249"/>
      <c r="C75" s="25"/>
      <c r="D75" s="17" t="s">
        <v>12</v>
      </c>
      <c r="E75" s="18"/>
      <c r="F75" s="39"/>
      <c r="G75" s="19">
        <f t="shared" ref="G75:N75" si="22">G64+G74</f>
        <v>48.025000000000006</v>
      </c>
      <c r="H75" s="40">
        <f t="shared" si="22"/>
        <v>55.36</v>
      </c>
      <c r="I75" s="19">
        <f t="shared" si="22"/>
        <v>55.143166666666687</v>
      </c>
      <c r="J75" s="40">
        <f t="shared" si="22"/>
        <v>67.986666666666665</v>
      </c>
      <c r="K75" s="19">
        <f>K64+K74</f>
        <v>199.84441666666669</v>
      </c>
      <c r="L75" s="40">
        <f t="shared" si="22"/>
        <v>216.62416666666667</v>
      </c>
      <c r="M75" s="19">
        <f t="shared" si="22"/>
        <v>1487.7661666666668</v>
      </c>
      <c r="N75" s="42">
        <f t="shared" si="22"/>
        <v>1699.8166666666668</v>
      </c>
    </row>
    <row r="76" spans="2:14" ht="15.75" x14ac:dyDescent="0.25">
      <c r="B76" s="238" t="s">
        <v>18</v>
      </c>
      <c r="C76" s="238"/>
      <c r="D76" s="238"/>
      <c r="E76" s="238"/>
      <c r="H76" s="15"/>
    </row>
    <row r="77" spans="2:14" x14ac:dyDescent="0.25">
      <c r="H77" s="1"/>
    </row>
    <row r="81" spans="4:6" x14ac:dyDescent="0.25">
      <c r="D81" s="12" t="s">
        <v>24</v>
      </c>
    </row>
    <row r="90" spans="4:6" x14ac:dyDescent="0.25">
      <c r="F90" s="1"/>
    </row>
    <row r="98" spans="10:10" x14ac:dyDescent="0.25">
      <c r="J98" s="1"/>
    </row>
  </sheetData>
  <mergeCells count="24">
    <mergeCell ref="G15:H15"/>
    <mergeCell ref="I15:J15"/>
    <mergeCell ref="K15:L15"/>
    <mergeCell ref="C3:G3"/>
    <mergeCell ref="C5:F5"/>
    <mergeCell ref="D10:N10"/>
    <mergeCell ref="D11:N11"/>
    <mergeCell ref="D12:N12"/>
    <mergeCell ref="C65:N65"/>
    <mergeCell ref="B76:E76"/>
    <mergeCell ref="B14:B16"/>
    <mergeCell ref="C56:N56"/>
    <mergeCell ref="B17:B35"/>
    <mergeCell ref="B36:B55"/>
    <mergeCell ref="B56:B75"/>
    <mergeCell ref="C45:N45"/>
    <mergeCell ref="C17:N17"/>
    <mergeCell ref="C26:N26"/>
    <mergeCell ref="C36:N36"/>
    <mergeCell ref="C14:C16"/>
    <mergeCell ref="D14:D16"/>
    <mergeCell ref="E14:F15"/>
    <mergeCell ref="G14:L14"/>
    <mergeCell ref="M14:N15"/>
  </mergeCells>
  <pageMargins left="0.23622047244094491" right="0.23622047244094491" top="0.19685039370078741" bottom="0.19685039370078741" header="0.31496062992125984" footer="0.31496062992125984"/>
  <pageSetup paperSize="9" scale="70" fitToWidth="0" fitToHeight="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B1:AA62"/>
  <sheetViews>
    <sheetView topLeftCell="A31" zoomScale="90" zoomScaleNormal="90" workbookViewId="0">
      <selection activeCell="C33" sqref="C33:N33"/>
    </sheetView>
  </sheetViews>
  <sheetFormatPr defaultRowHeight="15" x14ac:dyDescent="0.25"/>
  <cols>
    <col min="1" max="1" width="6.5703125" style="14" customWidth="1"/>
    <col min="2" max="2" width="2.7109375" style="14" customWidth="1"/>
    <col min="3" max="3" width="10.5703125" style="14" customWidth="1"/>
    <col min="4" max="4" width="40.140625" style="14" customWidth="1"/>
    <col min="5" max="6" width="7.28515625" style="14" customWidth="1"/>
    <col min="7" max="7" width="6.7109375" style="14" customWidth="1"/>
    <col min="8" max="8" width="6.85546875" style="14" customWidth="1"/>
    <col min="9" max="9" width="6.42578125" style="14" customWidth="1"/>
    <col min="10" max="10" width="6.5703125" style="14" customWidth="1"/>
    <col min="11" max="11" width="7.5703125" style="14" customWidth="1"/>
    <col min="12" max="12" width="7.42578125" style="14" customWidth="1"/>
    <col min="13" max="13" width="8.5703125" style="14" customWidth="1"/>
    <col min="14" max="14" width="7.5703125" style="14" customWidth="1"/>
    <col min="15" max="15" width="9" style="14" customWidth="1"/>
    <col min="16" max="16" width="7.28515625" style="14" customWidth="1"/>
    <col min="17" max="20" width="9.140625" style="14"/>
    <col min="21" max="21" width="19.7109375" style="14" customWidth="1"/>
    <col min="22" max="22" width="7.7109375" style="14" customWidth="1"/>
    <col min="23" max="23" width="9.140625" style="14"/>
    <col min="24" max="24" width="7.7109375" style="14" customWidth="1"/>
    <col min="25" max="16384" width="9.140625" style="14"/>
  </cols>
  <sheetData>
    <row r="1" spans="2:26" ht="23.25" customHeight="1" x14ac:dyDescent="0.25"/>
    <row r="2" spans="2:26" ht="16.5" customHeight="1" thickBot="1" x14ac:dyDescent="0.3">
      <c r="B2" s="238" t="s">
        <v>18</v>
      </c>
      <c r="C2" s="238"/>
      <c r="D2" s="238"/>
      <c r="E2" s="238"/>
      <c r="O2" s="2"/>
      <c r="P2" s="2"/>
      <c r="Q2" s="1"/>
      <c r="R2" s="1"/>
      <c r="S2" s="1"/>
      <c r="T2" s="1"/>
      <c r="U2" s="2"/>
      <c r="V2" s="2"/>
      <c r="W2" s="1"/>
      <c r="X2" s="1"/>
      <c r="Y2" s="1"/>
      <c r="Z2" s="1"/>
    </row>
    <row r="3" spans="2:26" ht="15" customHeight="1" x14ac:dyDescent="0.25">
      <c r="B3" s="239" t="s">
        <v>38</v>
      </c>
      <c r="C3" s="253" t="s">
        <v>0</v>
      </c>
      <c r="D3" s="256" t="s">
        <v>1</v>
      </c>
      <c r="E3" s="259" t="s">
        <v>6</v>
      </c>
      <c r="F3" s="260"/>
      <c r="G3" s="263" t="s">
        <v>7</v>
      </c>
      <c r="H3" s="263"/>
      <c r="I3" s="263"/>
      <c r="J3" s="263"/>
      <c r="K3" s="263"/>
      <c r="L3" s="263"/>
      <c r="M3" s="264" t="s">
        <v>5</v>
      </c>
      <c r="N3" s="265"/>
      <c r="O3" s="1"/>
      <c r="P3" s="3"/>
      <c r="Q3" s="5"/>
      <c r="R3" s="5"/>
      <c r="S3" s="5"/>
      <c r="T3" s="5"/>
      <c r="U3" s="1"/>
      <c r="V3" s="3"/>
      <c r="W3" s="5"/>
      <c r="X3" s="5"/>
      <c r="Y3" s="5"/>
      <c r="Z3" s="5"/>
    </row>
    <row r="4" spans="2:26" x14ac:dyDescent="0.25">
      <c r="B4" s="240"/>
      <c r="C4" s="254"/>
      <c r="D4" s="257"/>
      <c r="E4" s="261"/>
      <c r="F4" s="262"/>
      <c r="G4" s="268" t="s">
        <v>3</v>
      </c>
      <c r="H4" s="268"/>
      <c r="I4" s="266" t="s">
        <v>2</v>
      </c>
      <c r="J4" s="266"/>
      <c r="K4" s="268" t="s">
        <v>4</v>
      </c>
      <c r="L4" s="268"/>
      <c r="M4" s="266"/>
      <c r="N4" s="267"/>
      <c r="O4" s="1"/>
      <c r="P4" s="3"/>
      <c r="Q4" s="5"/>
      <c r="R4" s="5"/>
      <c r="S4" s="5"/>
      <c r="T4" s="5"/>
      <c r="U4" s="1"/>
      <c r="V4" s="3"/>
      <c r="W4" s="5"/>
      <c r="X4" s="5"/>
      <c r="Y4" s="5"/>
      <c r="Z4" s="5"/>
    </row>
    <row r="5" spans="2:26" ht="27.75" customHeight="1" thickBot="1" x14ac:dyDescent="0.3">
      <c r="B5" s="241"/>
      <c r="C5" s="255"/>
      <c r="D5" s="258"/>
      <c r="E5" s="27" t="s">
        <v>15</v>
      </c>
      <c r="F5" s="28" t="s">
        <v>43</v>
      </c>
      <c r="G5" s="27" t="s">
        <v>15</v>
      </c>
      <c r="H5" s="28" t="s">
        <v>43</v>
      </c>
      <c r="I5" s="27" t="s">
        <v>15</v>
      </c>
      <c r="J5" s="28" t="s">
        <v>43</v>
      </c>
      <c r="K5" s="27" t="s">
        <v>15</v>
      </c>
      <c r="L5" s="28" t="s">
        <v>43</v>
      </c>
      <c r="M5" s="27" t="s">
        <v>15</v>
      </c>
      <c r="N5" s="29" t="s">
        <v>43</v>
      </c>
      <c r="O5" s="1"/>
      <c r="P5" s="3"/>
      <c r="Q5" s="5"/>
      <c r="R5" s="5"/>
      <c r="S5" s="5"/>
      <c r="T5" s="5"/>
      <c r="U5" s="1"/>
      <c r="V5" s="3"/>
      <c r="W5" s="5"/>
      <c r="X5" s="5"/>
      <c r="Y5" s="5"/>
      <c r="Z5" s="5"/>
    </row>
    <row r="6" spans="2:26" ht="15" customHeight="1" x14ac:dyDescent="0.25">
      <c r="B6" s="275" t="s">
        <v>174</v>
      </c>
      <c r="C6" s="242" t="s">
        <v>8</v>
      </c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4"/>
      <c r="O6" s="1"/>
      <c r="P6" s="3"/>
      <c r="Q6" s="5"/>
      <c r="R6" s="5"/>
      <c r="S6" s="5"/>
      <c r="T6" s="5"/>
      <c r="U6" s="1"/>
      <c r="V6" s="3"/>
      <c r="W6" s="5"/>
      <c r="X6" s="5"/>
      <c r="Y6" s="5"/>
      <c r="Z6" s="5"/>
    </row>
    <row r="7" spans="2:26" x14ac:dyDescent="0.25">
      <c r="B7" s="276"/>
      <c r="C7" s="164" t="s">
        <v>155</v>
      </c>
      <c r="D7" s="101" t="s">
        <v>156</v>
      </c>
      <c r="E7" s="162">
        <v>150</v>
      </c>
      <c r="F7" s="30">
        <v>180</v>
      </c>
      <c r="G7" s="22">
        <f>E7*17.1/100</f>
        <v>25.65</v>
      </c>
      <c r="H7" s="33">
        <f>F7*17.1/100</f>
        <v>30.780000000000005</v>
      </c>
      <c r="I7" s="22">
        <f>E7*12.2/100</f>
        <v>18.3</v>
      </c>
      <c r="J7" s="33">
        <f>F7*12.2/100</f>
        <v>21.96</v>
      </c>
      <c r="K7" s="22">
        <f>E7*15.5/100</f>
        <v>23.25</v>
      </c>
      <c r="L7" s="33">
        <f>F7*15.5/100</f>
        <v>27.9</v>
      </c>
      <c r="M7" s="22">
        <f t="shared" ref="M7:N13" si="0">G7*4+I7*9+K7*4</f>
        <v>360.3</v>
      </c>
      <c r="N7" s="35">
        <f t="shared" si="0"/>
        <v>432.36</v>
      </c>
      <c r="O7" s="1"/>
      <c r="P7" s="3"/>
      <c r="Q7" s="5"/>
      <c r="R7" s="5"/>
      <c r="S7" s="5"/>
      <c r="T7" s="5"/>
      <c r="U7" s="1"/>
      <c r="V7" s="3"/>
      <c r="W7" s="5"/>
      <c r="X7" s="5"/>
      <c r="Y7" s="5"/>
      <c r="Z7" s="5"/>
    </row>
    <row r="8" spans="2:26" s="16" customFormat="1" x14ac:dyDescent="0.25">
      <c r="B8" s="276"/>
      <c r="C8" s="21" t="s">
        <v>122</v>
      </c>
      <c r="D8" s="97" t="s">
        <v>123</v>
      </c>
      <c r="E8" s="162">
        <v>20</v>
      </c>
      <c r="F8" s="95">
        <v>20</v>
      </c>
      <c r="G8" s="98">
        <f>E8*0/10</f>
        <v>0</v>
      </c>
      <c r="H8" s="99">
        <f>F8*0/10</f>
        <v>0</v>
      </c>
      <c r="I8" s="98">
        <f>E8*0/10</f>
        <v>0</v>
      </c>
      <c r="J8" s="99">
        <f>F8*0/10</f>
        <v>0</v>
      </c>
      <c r="K8" s="22">
        <f>E8*61/100</f>
        <v>12.2</v>
      </c>
      <c r="L8" s="33">
        <f>F8*61/100</f>
        <v>12.2</v>
      </c>
      <c r="M8" s="22">
        <f t="shared" si="0"/>
        <v>48.8</v>
      </c>
      <c r="N8" s="35">
        <f t="shared" si="0"/>
        <v>48.8</v>
      </c>
      <c r="O8" s="1"/>
      <c r="P8" s="3"/>
      <c r="Q8" s="5"/>
      <c r="R8" s="5"/>
      <c r="S8" s="5"/>
      <c r="T8" s="5"/>
      <c r="U8" s="1"/>
      <c r="V8" s="3"/>
      <c r="W8" s="5"/>
      <c r="X8" s="5"/>
      <c r="Y8" s="5"/>
      <c r="Z8" s="5"/>
    </row>
    <row r="9" spans="2:26" s="16" customFormat="1" x14ac:dyDescent="0.25">
      <c r="B9" s="276"/>
      <c r="C9" s="20" t="s">
        <v>45</v>
      </c>
      <c r="D9" s="9" t="s">
        <v>16</v>
      </c>
      <c r="E9" s="174">
        <v>200</v>
      </c>
      <c r="F9" s="31">
        <v>200</v>
      </c>
      <c r="G9" s="22">
        <f>E9*0.2/200</f>
        <v>0.2</v>
      </c>
      <c r="H9" s="33">
        <f>F9*0.2/200</f>
        <v>0.2</v>
      </c>
      <c r="I9" s="22">
        <f>E9*0.1/200</f>
        <v>0.1</v>
      </c>
      <c r="J9" s="33">
        <f>F9*0.1/200</f>
        <v>0.1</v>
      </c>
      <c r="K9" s="22">
        <f>E9*9.3/200</f>
        <v>9.3000000000000007</v>
      </c>
      <c r="L9" s="33">
        <f>F9*9.3/200</f>
        <v>9.3000000000000007</v>
      </c>
      <c r="M9" s="22">
        <f t="shared" ref="M9:M10" si="1">G9*4+I9*9+K9*4</f>
        <v>38.900000000000006</v>
      </c>
      <c r="N9" s="35">
        <f t="shared" ref="N9:N10" si="2">H9*4+J9*9+L9*4</f>
        <v>38.900000000000006</v>
      </c>
      <c r="O9" s="1"/>
      <c r="P9" s="3"/>
      <c r="Q9" s="5"/>
      <c r="R9" s="5"/>
      <c r="S9" s="5"/>
      <c r="T9" s="5"/>
      <c r="U9" s="1"/>
      <c r="V9" s="3"/>
      <c r="W9" s="5"/>
      <c r="X9" s="5"/>
      <c r="Y9" s="5"/>
      <c r="Z9" s="5"/>
    </row>
    <row r="10" spans="2:26" s="16" customFormat="1" x14ac:dyDescent="0.25">
      <c r="B10" s="276"/>
      <c r="C10" s="21" t="s">
        <v>79</v>
      </c>
      <c r="D10" s="6" t="s">
        <v>23</v>
      </c>
      <c r="E10" s="62">
        <v>20</v>
      </c>
      <c r="F10" s="63">
        <v>20</v>
      </c>
      <c r="G10" s="22">
        <f>E10*8/100</f>
        <v>1.6</v>
      </c>
      <c r="H10" s="33">
        <f>F10*8/100</f>
        <v>1.6</v>
      </c>
      <c r="I10" s="22">
        <f>E10*1.5/100</f>
        <v>0.3</v>
      </c>
      <c r="J10" s="33">
        <f>F10*1.5/100</f>
        <v>0.3</v>
      </c>
      <c r="K10" s="22">
        <f>E10*40.1/100</f>
        <v>8.02</v>
      </c>
      <c r="L10" s="33">
        <f>F10*40.1/100</f>
        <v>8.02</v>
      </c>
      <c r="M10" s="22">
        <f t="shared" si="1"/>
        <v>41.18</v>
      </c>
      <c r="N10" s="35">
        <f t="shared" si="2"/>
        <v>41.18</v>
      </c>
      <c r="O10" s="1"/>
      <c r="P10" s="3"/>
      <c r="Q10" s="5"/>
      <c r="R10" s="5"/>
      <c r="S10" s="5"/>
      <c r="T10" s="5"/>
      <c r="U10" s="1"/>
      <c r="V10" s="3"/>
      <c r="W10" s="5"/>
      <c r="X10" s="5"/>
      <c r="Y10" s="5"/>
      <c r="Z10" s="5"/>
    </row>
    <row r="11" spans="2:26" x14ac:dyDescent="0.25">
      <c r="B11" s="276"/>
      <c r="C11" s="21" t="s">
        <v>80</v>
      </c>
      <c r="D11" s="6" t="s">
        <v>81</v>
      </c>
      <c r="E11" s="62">
        <v>20</v>
      </c>
      <c r="F11" s="63">
        <v>20</v>
      </c>
      <c r="G11" s="22">
        <f>E11*7.6/100</f>
        <v>1.52</v>
      </c>
      <c r="H11" s="33">
        <f>F11*7.6/100</f>
        <v>1.52</v>
      </c>
      <c r="I11" s="22">
        <f>E11*0.8/100</f>
        <v>0.16</v>
      </c>
      <c r="J11" s="33">
        <f>F11*0.8/100</f>
        <v>0.16</v>
      </c>
      <c r="K11" s="22">
        <f>E11*49.2/100</f>
        <v>9.84</v>
      </c>
      <c r="L11" s="33">
        <f>F11*49.2/100</f>
        <v>9.84</v>
      </c>
      <c r="M11" s="22">
        <f>G11*4+I11*9+K11*4</f>
        <v>46.879999999999995</v>
      </c>
      <c r="N11" s="35">
        <f>H11*4+J11*9+L11*4</f>
        <v>46.879999999999995</v>
      </c>
      <c r="O11" s="1"/>
      <c r="P11" s="3"/>
      <c r="Q11" s="5"/>
      <c r="R11" s="5"/>
      <c r="S11" s="5"/>
      <c r="T11" s="5"/>
      <c r="U11" s="1"/>
      <c r="V11" s="3"/>
      <c r="W11" s="5"/>
      <c r="X11" s="5"/>
      <c r="Y11" s="5"/>
      <c r="Z11" s="5"/>
    </row>
    <row r="12" spans="2:26" s="16" customFormat="1" x14ac:dyDescent="0.25">
      <c r="B12" s="276"/>
      <c r="C12" s="21" t="s">
        <v>112</v>
      </c>
      <c r="D12" s="6" t="s">
        <v>113</v>
      </c>
      <c r="E12" s="162">
        <v>150</v>
      </c>
      <c r="F12" s="31">
        <v>150</v>
      </c>
      <c r="G12" s="22">
        <f>E12*0.4/100</f>
        <v>0.6</v>
      </c>
      <c r="H12" s="33">
        <f>F12*0.4/100</f>
        <v>0.6</v>
      </c>
      <c r="I12" s="22">
        <f>E12*0.4/100</f>
        <v>0.6</v>
      </c>
      <c r="J12" s="33">
        <f>F12*0.4/100</f>
        <v>0.6</v>
      </c>
      <c r="K12" s="22">
        <f>E12*9.8/100</f>
        <v>14.7</v>
      </c>
      <c r="L12" s="33">
        <f>F12*9.8/100</f>
        <v>14.7</v>
      </c>
      <c r="M12" s="22">
        <f>G12*4+I12*9+K12*4</f>
        <v>66.599999999999994</v>
      </c>
      <c r="N12" s="35">
        <f>H12*4+J12*9+L12*4</f>
        <v>66.599999999999994</v>
      </c>
      <c r="O12" s="1"/>
      <c r="P12" s="3"/>
      <c r="Q12" s="5"/>
      <c r="R12" s="5"/>
      <c r="S12" s="5"/>
      <c r="T12" s="5"/>
      <c r="U12" s="1"/>
      <c r="V12" s="3"/>
      <c r="W12" s="5"/>
      <c r="X12" s="5"/>
      <c r="Y12" s="5"/>
      <c r="Z12" s="5"/>
    </row>
    <row r="13" spans="2:26" s="16" customFormat="1" x14ac:dyDescent="0.25">
      <c r="B13" s="276"/>
      <c r="C13" s="26"/>
      <c r="D13" s="4" t="s">
        <v>13</v>
      </c>
      <c r="E13" s="24">
        <f>SUM(E7:E11)</f>
        <v>410</v>
      </c>
      <c r="F13" s="32">
        <f>SUM(F7:F11)</f>
        <v>440</v>
      </c>
      <c r="G13" s="7">
        <f t="shared" ref="G13:L13" si="3">SUM(G7:G12)</f>
        <v>29.57</v>
      </c>
      <c r="H13" s="34">
        <f t="shared" si="3"/>
        <v>34.70000000000001</v>
      </c>
      <c r="I13" s="7">
        <f t="shared" si="3"/>
        <v>19.460000000000004</v>
      </c>
      <c r="J13" s="34">
        <f t="shared" si="3"/>
        <v>23.120000000000005</v>
      </c>
      <c r="K13" s="7">
        <f t="shared" si="3"/>
        <v>77.31</v>
      </c>
      <c r="L13" s="34">
        <f t="shared" si="3"/>
        <v>81.96</v>
      </c>
      <c r="M13" s="7">
        <f>G13*4+I13*9+K13*4</f>
        <v>602.66000000000008</v>
      </c>
      <c r="N13" s="36">
        <f t="shared" si="0"/>
        <v>674.72</v>
      </c>
      <c r="O13" s="1"/>
      <c r="P13" s="3"/>
      <c r="Q13" s="5"/>
      <c r="R13" s="5"/>
      <c r="S13" s="5"/>
      <c r="T13" s="5"/>
      <c r="U13" s="1"/>
      <c r="V13" s="3"/>
      <c r="W13" s="5"/>
      <c r="X13" s="5"/>
      <c r="Y13" s="5"/>
      <c r="Z13" s="5"/>
    </row>
    <row r="14" spans="2:26" x14ac:dyDescent="0.25">
      <c r="B14" s="276"/>
      <c r="C14" s="235" t="s">
        <v>9</v>
      </c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7"/>
      <c r="O14" s="1"/>
      <c r="P14" s="3"/>
      <c r="Q14" s="5"/>
      <c r="R14" s="5"/>
      <c r="S14" s="5"/>
      <c r="T14" s="5"/>
      <c r="U14" s="1"/>
      <c r="V14" s="3"/>
      <c r="W14" s="5"/>
      <c r="X14" s="5"/>
      <c r="Y14" s="5"/>
      <c r="Z14" s="5"/>
    </row>
    <row r="15" spans="2:26" x14ac:dyDescent="0.25">
      <c r="B15" s="276"/>
      <c r="C15" s="20" t="s">
        <v>87</v>
      </c>
      <c r="D15" s="9" t="s">
        <v>88</v>
      </c>
      <c r="E15" s="162">
        <v>60</v>
      </c>
      <c r="F15" s="37">
        <v>100</v>
      </c>
      <c r="G15" s="22">
        <f>E15*1.1/100</f>
        <v>0.66</v>
      </c>
      <c r="H15" s="33">
        <f>F15*1.1/100</f>
        <v>1.1000000000000001</v>
      </c>
      <c r="I15" s="22">
        <f>E15*0.2/100</f>
        <v>0.12</v>
      </c>
      <c r="J15" s="33">
        <f>F15*0.2/100</f>
        <v>0.2</v>
      </c>
      <c r="K15" s="22">
        <f>E15*3.8/100</f>
        <v>2.2799999999999998</v>
      </c>
      <c r="L15" s="33">
        <f>F15*3.8/100</f>
        <v>3.8</v>
      </c>
      <c r="M15" s="23">
        <f t="shared" ref="M15:N21" si="4">G15*4+I15*9+K15*4</f>
        <v>12.84</v>
      </c>
      <c r="N15" s="41">
        <f t="shared" si="4"/>
        <v>21.4</v>
      </c>
      <c r="O15" s="1"/>
      <c r="P15" s="3"/>
      <c r="Q15" s="5"/>
      <c r="R15" s="5"/>
      <c r="S15" s="5"/>
      <c r="T15" s="5"/>
      <c r="U15" s="1"/>
      <c r="V15" s="3"/>
      <c r="W15" s="5"/>
      <c r="X15" s="5"/>
      <c r="Y15" s="5"/>
      <c r="Z15" s="5"/>
    </row>
    <row r="16" spans="2:26" x14ac:dyDescent="0.25">
      <c r="B16" s="276"/>
      <c r="C16" s="20" t="s">
        <v>71</v>
      </c>
      <c r="D16" s="8" t="s">
        <v>72</v>
      </c>
      <c r="E16" s="162">
        <v>200</v>
      </c>
      <c r="F16" s="37">
        <v>250</v>
      </c>
      <c r="G16" s="22">
        <f>E16*0.8/100</f>
        <v>1.6</v>
      </c>
      <c r="H16" s="33">
        <f>F16*0.8/100</f>
        <v>2</v>
      </c>
      <c r="I16" s="22">
        <f>E16*1.72/100</f>
        <v>3.44</v>
      </c>
      <c r="J16" s="33">
        <f>F16*1.72/100</f>
        <v>4.3</v>
      </c>
      <c r="K16" s="22">
        <f>E16*4/100</f>
        <v>8</v>
      </c>
      <c r="L16" s="33">
        <f>F16*4/100</f>
        <v>10</v>
      </c>
      <c r="M16" s="22">
        <f t="shared" si="4"/>
        <v>69.36</v>
      </c>
      <c r="N16" s="35">
        <f t="shared" si="4"/>
        <v>86.699999999999989</v>
      </c>
      <c r="O16" s="1"/>
      <c r="P16" s="3"/>
      <c r="Q16" s="5"/>
      <c r="R16" s="5"/>
      <c r="S16" s="5"/>
      <c r="T16" s="5"/>
      <c r="U16" s="1"/>
      <c r="V16" s="3"/>
      <c r="W16" s="5"/>
      <c r="X16" s="5"/>
      <c r="Y16" s="5"/>
      <c r="Z16" s="5"/>
    </row>
    <row r="17" spans="2:26" s="16" customFormat="1" x14ac:dyDescent="0.25">
      <c r="B17" s="276"/>
      <c r="C17" s="21" t="s">
        <v>157</v>
      </c>
      <c r="D17" s="6" t="s">
        <v>158</v>
      </c>
      <c r="E17" s="162">
        <v>150</v>
      </c>
      <c r="F17" s="31">
        <v>180</v>
      </c>
      <c r="G17" s="22">
        <f>E17*2.77/100</f>
        <v>4.1550000000000002</v>
      </c>
      <c r="H17" s="33">
        <f>F17*2.77/100</f>
        <v>4.9860000000000007</v>
      </c>
      <c r="I17" s="22">
        <f>E17*1.77/100</f>
        <v>2.6549999999999998</v>
      </c>
      <c r="J17" s="33">
        <f>F17*1.77/100</f>
        <v>3.1860000000000004</v>
      </c>
      <c r="K17" s="22">
        <f>E17*23.61/100</f>
        <v>35.414999999999999</v>
      </c>
      <c r="L17" s="33">
        <f>F17*23.61/100</f>
        <v>42.498000000000005</v>
      </c>
      <c r="M17" s="22">
        <f t="shared" si="4"/>
        <v>182.17500000000001</v>
      </c>
      <c r="N17" s="35">
        <f t="shared" si="4"/>
        <v>218.61</v>
      </c>
      <c r="O17" s="1"/>
      <c r="P17" s="3"/>
      <c r="Q17" s="5"/>
      <c r="R17" s="5"/>
      <c r="S17" s="5"/>
      <c r="T17" s="5"/>
      <c r="U17" s="1"/>
      <c r="V17" s="3"/>
      <c r="W17" s="5"/>
      <c r="X17" s="5"/>
      <c r="Y17" s="5"/>
      <c r="Z17" s="5"/>
    </row>
    <row r="18" spans="2:26" s="16" customFormat="1" ht="15" customHeight="1" x14ac:dyDescent="0.25">
      <c r="B18" s="276"/>
      <c r="C18" s="20" t="s">
        <v>159</v>
      </c>
      <c r="D18" s="8" t="s">
        <v>160</v>
      </c>
      <c r="E18" s="162">
        <v>90</v>
      </c>
      <c r="F18" s="31">
        <v>100</v>
      </c>
      <c r="G18" s="22">
        <f>E18*8.9/100</f>
        <v>8.01</v>
      </c>
      <c r="H18" s="33">
        <f>F18*8.9/100</f>
        <v>8.9</v>
      </c>
      <c r="I18" s="22">
        <f>E18*20.3/100</f>
        <v>18.27</v>
      </c>
      <c r="J18" s="33">
        <f>F18*20.3/100</f>
        <v>20.3</v>
      </c>
      <c r="K18" s="22">
        <f>E18*8.9/100</f>
        <v>8.01</v>
      </c>
      <c r="L18" s="33">
        <f>F18*8.9/100</f>
        <v>8.9</v>
      </c>
      <c r="M18" s="22">
        <f t="shared" si="4"/>
        <v>228.51</v>
      </c>
      <c r="N18" s="35">
        <f t="shared" si="4"/>
        <v>253.9</v>
      </c>
      <c r="O18" s="1"/>
      <c r="P18" s="3"/>
      <c r="Q18" s="5"/>
      <c r="R18" s="5"/>
      <c r="S18" s="5"/>
      <c r="T18" s="5"/>
      <c r="U18" s="1"/>
      <c r="V18" s="3"/>
      <c r="W18" s="5"/>
      <c r="X18" s="5"/>
      <c r="Y18" s="5"/>
      <c r="Z18" s="5"/>
    </row>
    <row r="19" spans="2:26" x14ac:dyDescent="0.25">
      <c r="B19" s="276"/>
      <c r="C19" s="21" t="s">
        <v>161</v>
      </c>
      <c r="D19" s="6" t="s">
        <v>162</v>
      </c>
      <c r="E19" s="162">
        <v>200</v>
      </c>
      <c r="F19" s="31">
        <v>200</v>
      </c>
      <c r="G19" s="22">
        <f>E19*0.1/200</f>
        <v>0.1</v>
      </c>
      <c r="H19" s="33">
        <f>F19*0.1/200</f>
        <v>0.1</v>
      </c>
      <c r="I19" s="98">
        <f>E19*0/100</f>
        <v>0</v>
      </c>
      <c r="J19" s="33">
        <f>F19*0/100</f>
        <v>0</v>
      </c>
      <c r="K19" s="22">
        <f>E19*24.2/200</f>
        <v>24.2</v>
      </c>
      <c r="L19" s="33">
        <f>F19*24.2/200</f>
        <v>24.2</v>
      </c>
      <c r="M19" s="22">
        <f t="shared" si="4"/>
        <v>97.2</v>
      </c>
      <c r="N19" s="35">
        <f t="shared" si="4"/>
        <v>97.2</v>
      </c>
      <c r="O19" s="1"/>
      <c r="P19" s="3"/>
      <c r="Q19" s="5"/>
      <c r="R19" s="5"/>
      <c r="S19" s="5"/>
      <c r="T19" s="5"/>
      <c r="U19" s="1"/>
      <c r="V19" s="3"/>
      <c r="W19" s="5"/>
      <c r="X19" s="5"/>
      <c r="Y19" s="5"/>
      <c r="Z19" s="5"/>
    </row>
    <row r="20" spans="2:26" s="16" customFormat="1" x14ac:dyDescent="0.25">
      <c r="B20" s="276"/>
      <c r="C20" s="21" t="s">
        <v>79</v>
      </c>
      <c r="D20" s="6" t="s">
        <v>23</v>
      </c>
      <c r="E20" s="62">
        <v>30</v>
      </c>
      <c r="F20" s="63">
        <v>30</v>
      </c>
      <c r="G20" s="22">
        <f>E20*8/100</f>
        <v>2.4</v>
      </c>
      <c r="H20" s="33">
        <f>F20*8/100</f>
        <v>2.4</v>
      </c>
      <c r="I20" s="22">
        <f>E20*1.5/100</f>
        <v>0.45</v>
      </c>
      <c r="J20" s="33">
        <f>F20*1.5/100</f>
        <v>0.45</v>
      </c>
      <c r="K20" s="22">
        <f>E20*40.1/100</f>
        <v>12.03</v>
      </c>
      <c r="L20" s="33">
        <f>F20*40.1/100</f>
        <v>12.03</v>
      </c>
      <c r="M20" s="22">
        <f t="shared" si="4"/>
        <v>61.769999999999996</v>
      </c>
      <c r="N20" s="35">
        <f t="shared" si="4"/>
        <v>61.769999999999996</v>
      </c>
      <c r="O20" s="1"/>
      <c r="P20" s="3"/>
      <c r="Q20" s="5"/>
      <c r="R20" s="5"/>
      <c r="S20" s="5"/>
      <c r="T20" s="5"/>
      <c r="U20" s="1"/>
      <c r="V20" s="3"/>
      <c r="W20" s="5"/>
      <c r="X20" s="5"/>
      <c r="Y20" s="5"/>
      <c r="Z20" s="5"/>
    </row>
    <row r="21" spans="2:26" x14ac:dyDescent="0.25">
      <c r="B21" s="276"/>
      <c r="C21" s="21" t="s">
        <v>80</v>
      </c>
      <c r="D21" s="6" t="s">
        <v>81</v>
      </c>
      <c r="E21" s="62">
        <v>40</v>
      </c>
      <c r="F21" s="63">
        <v>40</v>
      </c>
      <c r="G21" s="22">
        <f>E21*7.6/100</f>
        <v>3.04</v>
      </c>
      <c r="H21" s="33">
        <f>F21*7.6/100</f>
        <v>3.04</v>
      </c>
      <c r="I21" s="22">
        <f>E21*0.8/100</f>
        <v>0.32</v>
      </c>
      <c r="J21" s="33">
        <f>F21*0.8/100</f>
        <v>0.32</v>
      </c>
      <c r="K21" s="22">
        <f>E21*49.2/100</f>
        <v>19.68</v>
      </c>
      <c r="L21" s="33">
        <f>F21*49.2/100</f>
        <v>19.68</v>
      </c>
      <c r="M21" s="22">
        <f t="shared" si="4"/>
        <v>93.759999999999991</v>
      </c>
      <c r="N21" s="35">
        <f t="shared" si="4"/>
        <v>93.759999999999991</v>
      </c>
      <c r="O21" s="1"/>
      <c r="P21" s="3"/>
      <c r="Q21" s="5"/>
      <c r="R21" s="5"/>
      <c r="S21" s="5"/>
      <c r="T21" s="5"/>
      <c r="U21" s="1"/>
      <c r="V21" s="3"/>
      <c r="W21" s="5"/>
      <c r="X21" s="5"/>
      <c r="Y21" s="5"/>
      <c r="Z21" s="5"/>
    </row>
    <row r="22" spans="2:26" x14ac:dyDescent="0.25">
      <c r="B22" s="276"/>
      <c r="C22" s="21"/>
      <c r="D22" s="4" t="s">
        <v>14</v>
      </c>
      <c r="E22" s="24">
        <f t="shared" ref="E22:N22" si="5">SUM(E15:E21)</f>
        <v>770</v>
      </c>
      <c r="F22" s="38">
        <f t="shared" si="5"/>
        <v>900</v>
      </c>
      <c r="G22" s="154">
        <f t="shared" si="5"/>
        <v>19.965</v>
      </c>
      <c r="H22" s="34">
        <f t="shared" si="5"/>
        <v>22.526</v>
      </c>
      <c r="I22" s="178">
        <f t="shared" si="5"/>
        <v>25.254999999999999</v>
      </c>
      <c r="J22" s="34">
        <f t="shared" si="5"/>
        <v>28.756</v>
      </c>
      <c r="K22" s="7">
        <f t="shared" si="5"/>
        <v>109.61500000000001</v>
      </c>
      <c r="L22" s="34">
        <f t="shared" si="5"/>
        <v>121.108</v>
      </c>
      <c r="M22" s="7">
        <f t="shared" si="5"/>
        <v>745.61500000000001</v>
      </c>
      <c r="N22" s="36">
        <f t="shared" si="5"/>
        <v>833.34</v>
      </c>
      <c r="O22" s="1"/>
      <c r="P22" s="3"/>
      <c r="Q22" s="5"/>
      <c r="R22" s="5"/>
      <c r="S22" s="5"/>
      <c r="T22" s="5"/>
      <c r="U22" s="1"/>
      <c r="V22" s="3"/>
      <c r="W22" s="5"/>
      <c r="X22" s="5"/>
      <c r="Y22" s="5"/>
      <c r="Z22" s="5"/>
    </row>
    <row r="23" spans="2:26" ht="15.75" thickBot="1" x14ac:dyDescent="0.3">
      <c r="B23" s="276"/>
      <c r="C23" s="65"/>
      <c r="D23" s="66" t="s">
        <v>12</v>
      </c>
      <c r="E23" s="70"/>
      <c r="F23" s="71"/>
      <c r="G23" s="67">
        <f t="shared" ref="G23:N23" si="6">G13+G22</f>
        <v>49.534999999999997</v>
      </c>
      <c r="H23" s="68">
        <f t="shared" si="6"/>
        <v>57.226000000000013</v>
      </c>
      <c r="I23" s="67">
        <f t="shared" si="6"/>
        <v>44.715000000000003</v>
      </c>
      <c r="J23" s="68">
        <f t="shared" si="6"/>
        <v>51.876000000000005</v>
      </c>
      <c r="K23" s="67">
        <f t="shared" si="6"/>
        <v>186.92500000000001</v>
      </c>
      <c r="L23" s="68">
        <f t="shared" si="6"/>
        <v>203.06799999999998</v>
      </c>
      <c r="M23" s="67">
        <f t="shared" si="6"/>
        <v>1348.2750000000001</v>
      </c>
      <c r="N23" s="68">
        <f t="shared" si="6"/>
        <v>1508.06</v>
      </c>
      <c r="O23" s="1"/>
      <c r="P23" s="3"/>
      <c r="Q23" s="5"/>
      <c r="R23" s="5"/>
      <c r="S23" s="5"/>
      <c r="T23" s="5"/>
      <c r="U23" s="1"/>
      <c r="V23" s="3"/>
      <c r="W23" s="5"/>
      <c r="X23" s="5"/>
      <c r="Y23" s="5"/>
      <c r="Z23" s="5"/>
    </row>
    <row r="24" spans="2:26" x14ac:dyDescent="0.25">
      <c r="B24" s="275" t="s">
        <v>182</v>
      </c>
      <c r="C24" s="242" t="s">
        <v>8</v>
      </c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4"/>
    </row>
    <row r="25" spans="2:26" x14ac:dyDescent="0.25">
      <c r="B25" s="276"/>
      <c r="C25" s="20" t="s">
        <v>58</v>
      </c>
      <c r="D25" s="8" t="s">
        <v>59</v>
      </c>
      <c r="E25" s="167">
        <v>100</v>
      </c>
      <c r="F25" s="30">
        <v>200</v>
      </c>
      <c r="G25" s="22">
        <f>E25*3.03/100</f>
        <v>3.03</v>
      </c>
      <c r="H25" s="33">
        <f>F25*3.03/100</f>
        <v>6.06</v>
      </c>
      <c r="I25" s="22">
        <f>E25*3.21/100</f>
        <v>3.21</v>
      </c>
      <c r="J25" s="33">
        <f>F25*3.21/100</f>
        <v>6.42</v>
      </c>
      <c r="K25" s="22">
        <f>E25*15.23/100</f>
        <v>15.23</v>
      </c>
      <c r="L25" s="33">
        <f>F25*15.23/100</f>
        <v>30.46</v>
      </c>
      <c r="M25" s="22">
        <f t="shared" ref="M25:N26" si="7">G25*4+I25*9+K25*4</f>
        <v>101.93</v>
      </c>
      <c r="N25" s="35">
        <f t="shared" si="7"/>
        <v>203.86</v>
      </c>
    </row>
    <row r="26" spans="2:26" s="16" customFormat="1" x14ac:dyDescent="0.25">
      <c r="B26" s="276"/>
      <c r="C26" s="96" t="s">
        <v>116</v>
      </c>
      <c r="D26" s="97" t="s">
        <v>117</v>
      </c>
      <c r="E26" s="167">
        <v>10</v>
      </c>
      <c r="F26" s="95">
        <v>10</v>
      </c>
      <c r="G26" s="22">
        <f>E26*0.8/100</f>
        <v>0.08</v>
      </c>
      <c r="H26" s="33">
        <f>F26*0.8/100</f>
        <v>0.08</v>
      </c>
      <c r="I26" s="22">
        <f>E26*72.5/100</f>
        <v>7.25</v>
      </c>
      <c r="J26" s="33">
        <f>F26*72.5/100</f>
        <v>7.25</v>
      </c>
      <c r="K26" s="22">
        <f>E26*1.3/100</f>
        <v>0.13</v>
      </c>
      <c r="L26" s="33">
        <f>F26*1.3/100</f>
        <v>0.13</v>
      </c>
      <c r="M26" s="22">
        <f t="shared" si="7"/>
        <v>66.089999999999989</v>
      </c>
      <c r="N26" s="35">
        <f t="shared" si="7"/>
        <v>66.089999999999989</v>
      </c>
    </row>
    <row r="27" spans="2:26" s="16" customFormat="1" x14ac:dyDescent="0.25">
      <c r="B27" s="276"/>
      <c r="C27" s="96" t="s">
        <v>110</v>
      </c>
      <c r="D27" s="97" t="s">
        <v>111</v>
      </c>
      <c r="E27" s="84">
        <v>15</v>
      </c>
      <c r="F27" s="95">
        <v>20</v>
      </c>
      <c r="G27" s="22">
        <f>E27*23.2/100</f>
        <v>3.48</v>
      </c>
      <c r="H27" s="33">
        <f>F27*23.2/100</f>
        <v>4.6399999999999997</v>
      </c>
      <c r="I27" s="22">
        <f>E27*29.5/100</f>
        <v>4.4249999999999998</v>
      </c>
      <c r="J27" s="33">
        <f>F27*29.5/100</f>
        <v>5.9</v>
      </c>
      <c r="K27" s="22">
        <f>E27*0/100</f>
        <v>0</v>
      </c>
      <c r="L27" s="33">
        <f>F27*0/100</f>
        <v>0</v>
      </c>
      <c r="M27" s="22">
        <f t="shared" ref="M27:N30" si="8">G27*4+I27*9+K27*4</f>
        <v>53.744999999999997</v>
      </c>
      <c r="N27" s="35">
        <f t="shared" si="8"/>
        <v>71.66</v>
      </c>
    </row>
    <row r="28" spans="2:26" s="16" customFormat="1" x14ac:dyDescent="0.25">
      <c r="B28" s="276"/>
      <c r="C28" s="21" t="s">
        <v>234</v>
      </c>
      <c r="D28" s="6" t="s">
        <v>235</v>
      </c>
      <c r="E28" s="137">
        <v>200</v>
      </c>
      <c r="F28" s="31">
        <v>200</v>
      </c>
      <c r="G28" s="22">
        <f>E28*1.6/200</f>
        <v>1.6</v>
      </c>
      <c r="H28" s="33">
        <f>F28*1.6/200</f>
        <v>1.6</v>
      </c>
      <c r="I28" s="22">
        <f>E28*1.3/200</f>
        <v>1.3</v>
      </c>
      <c r="J28" s="33">
        <f>F28*1.3/200</f>
        <v>1.3</v>
      </c>
      <c r="K28" s="22">
        <f>E28*11.5/200</f>
        <v>11.5</v>
      </c>
      <c r="L28" s="33">
        <f>F28*11.5/200</f>
        <v>11.5</v>
      </c>
      <c r="M28" s="22">
        <f>G28*4+I28*9+K28*4</f>
        <v>64.099999999999994</v>
      </c>
      <c r="N28" s="35">
        <f>H28*4+J28*9+L28*4</f>
        <v>64.099999999999994</v>
      </c>
    </row>
    <row r="29" spans="2:26" s="16" customFormat="1" x14ac:dyDescent="0.25">
      <c r="B29" s="276"/>
      <c r="C29" s="21" t="s">
        <v>79</v>
      </c>
      <c r="D29" s="6" t="s">
        <v>23</v>
      </c>
      <c r="E29" s="62">
        <v>30</v>
      </c>
      <c r="F29" s="63">
        <v>30</v>
      </c>
      <c r="G29" s="22">
        <f>E29*8/100</f>
        <v>2.4</v>
      </c>
      <c r="H29" s="33">
        <f>F29*8/100</f>
        <v>2.4</v>
      </c>
      <c r="I29" s="22">
        <f>E29*1.5/100</f>
        <v>0.45</v>
      </c>
      <c r="J29" s="33">
        <f>F29*1.5/100</f>
        <v>0.45</v>
      </c>
      <c r="K29" s="22">
        <f>E29*40.1/100</f>
        <v>12.03</v>
      </c>
      <c r="L29" s="33">
        <f>F29*40.1/100</f>
        <v>12.03</v>
      </c>
      <c r="M29" s="22">
        <f t="shared" si="8"/>
        <v>61.769999999999996</v>
      </c>
      <c r="N29" s="35">
        <f t="shared" si="8"/>
        <v>61.769999999999996</v>
      </c>
    </row>
    <row r="30" spans="2:26" x14ac:dyDescent="0.25">
      <c r="B30" s="276"/>
      <c r="C30" s="21" t="s">
        <v>80</v>
      </c>
      <c r="D30" s="6" t="s">
        <v>81</v>
      </c>
      <c r="E30" s="62">
        <v>50</v>
      </c>
      <c r="F30" s="63">
        <v>50</v>
      </c>
      <c r="G30" s="22">
        <f>E30*7.6/100</f>
        <v>3.8</v>
      </c>
      <c r="H30" s="33">
        <f>F30*7.6/100</f>
        <v>3.8</v>
      </c>
      <c r="I30" s="22">
        <f>E30*0.8/100</f>
        <v>0.4</v>
      </c>
      <c r="J30" s="33">
        <f>F30*0.8/100</f>
        <v>0.4</v>
      </c>
      <c r="K30" s="22">
        <f>E30*49.2/100</f>
        <v>24.6</v>
      </c>
      <c r="L30" s="33">
        <f>F30*49.2/100</f>
        <v>24.6</v>
      </c>
      <c r="M30" s="22">
        <f t="shared" si="8"/>
        <v>117.2</v>
      </c>
      <c r="N30" s="35">
        <f t="shared" si="8"/>
        <v>117.2</v>
      </c>
    </row>
    <row r="31" spans="2:26" s="16" customFormat="1" x14ac:dyDescent="0.25">
      <c r="B31" s="276"/>
      <c r="C31" s="21" t="s">
        <v>112</v>
      </c>
      <c r="D31" s="6" t="s">
        <v>113</v>
      </c>
      <c r="E31" s="84">
        <v>150</v>
      </c>
      <c r="F31" s="31">
        <v>150</v>
      </c>
      <c r="G31" s="22">
        <f>E31*0.4/100</f>
        <v>0.6</v>
      </c>
      <c r="H31" s="33">
        <f>F31*0.4/100</f>
        <v>0.6</v>
      </c>
      <c r="I31" s="22">
        <f>E31*0.4/100</f>
        <v>0.6</v>
      </c>
      <c r="J31" s="33">
        <f>F31*0.4/100</f>
        <v>0.6</v>
      </c>
      <c r="K31" s="22">
        <f>E31*9.8/100</f>
        <v>14.7</v>
      </c>
      <c r="L31" s="33">
        <f>F31*9.8/100</f>
        <v>14.7</v>
      </c>
      <c r="M31" s="22">
        <f>G31*4+I31*9+K31*4</f>
        <v>66.599999999999994</v>
      </c>
      <c r="N31" s="35">
        <f>H31*4+J31*9+L31*4</f>
        <v>66.599999999999994</v>
      </c>
    </row>
    <row r="32" spans="2:26" x14ac:dyDescent="0.25">
      <c r="B32" s="276"/>
      <c r="C32" s="26"/>
      <c r="D32" s="4" t="s">
        <v>13</v>
      </c>
      <c r="E32" s="24">
        <f t="shared" ref="E32:L32" si="9">SUM(E25:E31)</f>
        <v>555</v>
      </c>
      <c r="F32" s="32">
        <f t="shared" si="9"/>
        <v>660</v>
      </c>
      <c r="G32" s="154">
        <f>SUM(G25:G31)</f>
        <v>14.99</v>
      </c>
      <c r="H32" s="34">
        <f t="shared" si="9"/>
        <v>19.18</v>
      </c>
      <c r="I32" s="7">
        <f t="shared" si="9"/>
        <v>17.635000000000002</v>
      </c>
      <c r="J32" s="34">
        <f t="shared" si="9"/>
        <v>22.32</v>
      </c>
      <c r="K32" s="7">
        <f t="shared" si="9"/>
        <v>78.19</v>
      </c>
      <c r="L32" s="34">
        <f t="shared" si="9"/>
        <v>93.42</v>
      </c>
      <c r="M32" s="7">
        <f>G32*4+I32*9+K32*4</f>
        <v>531.43499999999995</v>
      </c>
      <c r="N32" s="36">
        <f>H32*4+J32*9+L32*4</f>
        <v>651.28</v>
      </c>
    </row>
    <row r="33" spans="2:27" x14ac:dyDescent="0.25">
      <c r="B33" s="276"/>
      <c r="C33" s="235" t="s">
        <v>9</v>
      </c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237"/>
    </row>
    <row r="34" spans="2:27" x14ac:dyDescent="0.25">
      <c r="B34" s="276"/>
      <c r="C34" s="21" t="s">
        <v>273</v>
      </c>
      <c r="D34" s="6" t="s">
        <v>265</v>
      </c>
      <c r="E34" s="177">
        <v>60</v>
      </c>
      <c r="F34" s="37">
        <v>100</v>
      </c>
      <c r="G34" s="22">
        <f>E34*4.8/100</f>
        <v>2.88</v>
      </c>
      <c r="H34" s="33">
        <f>F34*4.8/100</f>
        <v>4.8</v>
      </c>
      <c r="I34" s="22">
        <f>E34*10.7/100</f>
        <v>6.42</v>
      </c>
      <c r="J34" s="33">
        <f>F34*10.7/100</f>
        <v>10.7</v>
      </c>
      <c r="K34" s="22">
        <f>E34*6.5/100</f>
        <v>3.9</v>
      </c>
      <c r="L34" s="33">
        <f>F34*6.5/100</f>
        <v>6.5</v>
      </c>
      <c r="M34" s="22">
        <f t="shared" ref="M34:N35" si="10">G34*4+I34*9+K34*4</f>
        <v>84.899999999999991</v>
      </c>
      <c r="N34" s="35">
        <f t="shared" si="10"/>
        <v>141.5</v>
      </c>
    </row>
    <row r="35" spans="2:27" s="16" customFormat="1" ht="17.25" customHeight="1" x14ac:dyDescent="0.25">
      <c r="B35" s="276"/>
      <c r="C35" s="58" t="s">
        <v>64</v>
      </c>
      <c r="D35" s="106" t="s">
        <v>65</v>
      </c>
      <c r="E35" s="177">
        <v>200</v>
      </c>
      <c r="F35" s="37">
        <v>250</v>
      </c>
      <c r="G35" s="22">
        <f>E35*1.95/100</f>
        <v>3.9</v>
      </c>
      <c r="H35" s="33">
        <f>F35*1.95/100</f>
        <v>4.875</v>
      </c>
      <c r="I35" s="22">
        <f>E35*2.96/100</f>
        <v>5.92</v>
      </c>
      <c r="J35" s="33">
        <f>F35*2.96/100</f>
        <v>7.4</v>
      </c>
      <c r="K35" s="22">
        <f>E35*6.21/100</f>
        <v>12.42</v>
      </c>
      <c r="L35" s="33">
        <f>F35*6.21/100</f>
        <v>15.525</v>
      </c>
      <c r="M35" s="23">
        <f t="shared" si="10"/>
        <v>118.56</v>
      </c>
      <c r="N35" s="41">
        <f t="shared" si="10"/>
        <v>148.20000000000002</v>
      </c>
    </row>
    <row r="36" spans="2:27" s="16" customFormat="1" x14ac:dyDescent="0.25">
      <c r="B36" s="276"/>
      <c r="C36" s="21" t="s">
        <v>33</v>
      </c>
      <c r="D36" s="6" t="s">
        <v>10</v>
      </c>
      <c r="E36" s="84">
        <v>150</v>
      </c>
      <c r="F36" s="31">
        <v>180</v>
      </c>
      <c r="G36" s="22">
        <f>E36*3.63/100</f>
        <v>5.4450000000000003</v>
      </c>
      <c r="H36" s="33">
        <f>F36*3.63/100</f>
        <v>6.5339999999999998</v>
      </c>
      <c r="I36" s="22">
        <f>E36*4.5/100</f>
        <v>6.75</v>
      </c>
      <c r="J36" s="33">
        <f>F36*4.5/100</f>
        <v>8.1</v>
      </c>
      <c r="K36" s="22">
        <f>E36*22.5/100</f>
        <v>33.75</v>
      </c>
      <c r="L36" s="33">
        <f>F36*22.5/100</f>
        <v>40.5</v>
      </c>
      <c r="M36" s="22">
        <f t="shared" ref="M36:N40" si="11">G36*4+I36*9+K36*4</f>
        <v>217.53</v>
      </c>
      <c r="N36" s="35">
        <f t="shared" si="11"/>
        <v>261.036</v>
      </c>
    </row>
    <row r="37" spans="2:27" s="16" customFormat="1" x14ac:dyDescent="0.25">
      <c r="B37" s="276"/>
      <c r="C37" s="20" t="s">
        <v>134</v>
      </c>
      <c r="D37" s="8" t="s">
        <v>135</v>
      </c>
      <c r="E37" s="84">
        <v>90</v>
      </c>
      <c r="F37" s="31">
        <v>100</v>
      </c>
      <c r="G37" s="22">
        <f>E37*15.3/100</f>
        <v>13.77</v>
      </c>
      <c r="H37" s="33">
        <f>F37*15.3/100</f>
        <v>15.3</v>
      </c>
      <c r="I37" s="22">
        <f>E37*11/100</f>
        <v>9.9</v>
      </c>
      <c r="J37" s="33">
        <f>F37*11/100</f>
        <v>11</v>
      </c>
      <c r="K37" s="22">
        <f>E37*13.3/100</f>
        <v>11.97</v>
      </c>
      <c r="L37" s="33">
        <f>F37*13.3/100</f>
        <v>13.3</v>
      </c>
      <c r="M37" s="23">
        <f t="shared" si="11"/>
        <v>192.06</v>
      </c>
      <c r="N37" s="41">
        <f t="shared" si="11"/>
        <v>213.39999999999998</v>
      </c>
    </row>
    <row r="38" spans="2:27" x14ac:dyDescent="0.25">
      <c r="B38" s="276"/>
      <c r="C38" s="21" t="s">
        <v>75</v>
      </c>
      <c r="D38" s="6" t="s">
        <v>76</v>
      </c>
      <c r="E38" s="84">
        <v>200</v>
      </c>
      <c r="F38" s="31">
        <v>200</v>
      </c>
      <c r="G38" s="22">
        <f>E38*0.5/100</f>
        <v>1</v>
      </c>
      <c r="H38" s="33">
        <f>F38*0.5/100</f>
        <v>1</v>
      </c>
      <c r="I38" s="22">
        <f>E38*0.1/100</f>
        <v>0.2</v>
      </c>
      <c r="J38" s="33">
        <f>F38*0.1/100</f>
        <v>0.2</v>
      </c>
      <c r="K38" s="22">
        <f>E38*10.1/100</f>
        <v>20.2</v>
      </c>
      <c r="L38" s="33">
        <f>F38*10.1/100</f>
        <v>20.2</v>
      </c>
      <c r="M38" s="22">
        <f t="shared" si="11"/>
        <v>86.6</v>
      </c>
      <c r="N38" s="35">
        <f t="shared" si="11"/>
        <v>86.6</v>
      </c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</row>
    <row r="39" spans="2:27" x14ac:dyDescent="0.25">
      <c r="B39" s="276"/>
      <c r="C39" s="21" t="s">
        <v>79</v>
      </c>
      <c r="D39" s="6" t="s">
        <v>23</v>
      </c>
      <c r="E39" s="62">
        <v>30</v>
      </c>
      <c r="F39" s="63">
        <v>30</v>
      </c>
      <c r="G39" s="22">
        <f>E39*8/100</f>
        <v>2.4</v>
      </c>
      <c r="H39" s="33">
        <f>F39*8/100</f>
        <v>2.4</v>
      </c>
      <c r="I39" s="22">
        <f>E39*1.5/100</f>
        <v>0.45</v>
      </c>
      <c r="J39" s="33">
        <f>F39*1.5/100</f>
        <v>0.45</v>
      </c>
      <c r="K39" s="22">
        <f>E39*40.1/100</f>
        <v>12.03</v>
      </c>
      <c r="L39" s="33">
        <f>F39*40.1/100</f>
        <v>12.03</v>
      </c>
      <c r="M39" s="22">
        <f t="shared" si="11"/>
        <v>61.769999999999996</v>
      </c>
      <c r="N39" s="35">
        <f t="shared" si="11"/>
        <v>61.769999999999996</v>
      </c>
    </row>
    <row r="40" spans="2:27" x14ac:dyDescent="0.25">
      <c r="B40" s="276"/>
      <c r="C40" s="21" t="s">
        <v>80</v>
      </c>
      <c r="D40" s="6" t="s">
        <v>81</v>
      </c>
      <c r="E40" s="62">
        <v>40</v>
      </c>
      <c r="F40" s="63">
        <v>40</v>
      </c>
      <c r="G40" s="22">
        <f>E40*7.6/100</f>
        <v>3.04</v>
      </c>
      <c r="H40" s="33">
        <f>F40*7.6/100</f>
        <v>3.04</v>
      </c>
      <c r="I40" s="22">
        <f>E40*0.8/100</f>
        <v>0.32</v>
      </c>
      <c r="J40" s="33">
        <f>F40*0.8/100</f>
        <v>0.32</v>
      </c>
      <c r="K40" s="22">
        <f>E40*49.2/100</f>
        <v>19.68</v>
      </c>
      <c r="L40" s="33">
        <f>F40*49.2/100</f>
        <v>19.68</v>
      </c>
      <c r="M40" s="22">
        <f t="shared" si="11"/>
        <v>93.759999999999991</v>
      </c>
      <c r="N40" s="35">
        <f t="shared" si="11"/>
        <v>93.759999999999991</v>
      </c>
    </row>
    <row r="41" spans="2:27" x14ac:dyDescent="0.25">
      <c r="B41" s="276"/>
      <c r="C41" s="21"/>
      <c r="D41" s="4" t="s">
        <v>14</v>
      </c>
      <c r="E41" s="24">
        <f t="shared" ref="E41:N41" si="12">SUM(E34:E40)</f>
        <v>770</v>
      </c>
      <c r="F41" s="38">
        <f t="shared" si="12"/>
        <v>900</v>
      </c>
      <c r="G41" s="7">
        <f t="shared" si="12"/>
        <v>32.434999999999995</v>
      </c>
      <c r="H41" s="34">
        <f t="shared" si="12"/>
        <v>37.948999999999998</v>
      </c>
      <c r="I41" s="7">
        <f>SUM(I34:I40)</f>
        <v>29.96</v>
      </c>
      <c r="J41" s="34">
        <f t="shared" si="12"/>
        <v>38.170000000000009</v>
      </c>
      <c r="K41" s="7">
        <f t="shared" si="12"/>
        <v>113.94999999999999</v>
      </c>
      <c r="L41" s="34">
        <f t="shared" si="12"/>
        <v>127.73500000000001</v>
      </c>
      <c r="M41" s="7">
        <f t="shared" si="12"/>
        <v>855.18</v>
      </c>
      <c r="N41" s="36">
        <f t="shared" si="12"/>
        <v>1006.2660000000001</v>
      </c>
    </row>
    <row r="42" spans="2:27" ht="15" customHeight="1" thickBot="1" x14ac:dyDescent="0.3">
      <c r="B42" s="277"/>
      <c r="C42" s="25"/>
      <c r="D42" s="17" t="s">
        <v>12</v>
      </c>
      <c r="E42" s="18"/>
      <c r="F42" s="39"/>
      <c r="G42" s="19">
        <f t="shared" ref="G42:N42" si="13">G32+G41</f>
        <v>47.424999999999997</v>
      </c>
      <c r="H42" s="40">
        <f t="shared" si="13"/>
        <v>57.128999999999998</v>
      </c>
      <c r="I42" s="19">
        <f>I32+I41</f>
        <v>47.594999999999999</v>
      </c>
      <c r="J42" s="40">
        <f t="shared" si="13"/>
        <v>60.490000000000009</v>
      </c>
      <c r="K42" s="19">
        <f t="shared" si="13"/>
        <v>192.14</v>
      </c>
      <c r="L42" s="40">
        <f t="shared" si="13"/>
        <v>221.15500000000003</v>
      </c>
      <c r="M42" s="19">
        <f t="shared" si="13"/>
        <v>1386.6149999999998</v>
      </c>
      <c r="N42" s="42">
        <f t="shared" si="13"/>
        <v>1657.546</v>
      </c>
    </row>
    <row r="43" spans="2:27" ht="15" customHeight="1" x14ac:dyDescent="0.25">
      <c r="B43" s="272" t="s">
        <v>175</v>
      </c>
      <c r="C43" s="250" t="s">
        <v>8</v>
      </c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2"/>
    </row>
    <row r="44" spans="2:27" s="16" customFormat="1" ht="15.75" customHeight="1" x14ac:dyDescent="0.25">
      <c r="B44" s="273"/>
      <c r="C44" s="20" t="s">
        <v>136</v>
      </c>
      <c r="D44" s="8" t="s">
        <v>137</v>
      </c>
      <c r="E44" s="84">
        <v>150</v>
      </c>
      <c r="F44" s="30">
        <v>200</v>
      </c>
      <c r="G44" s="22">
        <f>E44*3.62/100</f>
        <v>5.43</v>
      </c>
      <c r="H44" s="33">
        <f>F44*3.62/100</f>
        <v>7.24</v>
      </c>
      <c r="I44" s="22">
        <f>E44*3.32/100</f>
        <v>4.9800000000000004</v>
      </c>
      <c r="J44" s="33">
        <f>F44*3.32/100</f>
        <v>6.64</v>
      </c>
      <c r="K44" s="22">
        <f>E44*16.56/100</f>
        <v>24.84</v>
      </c>
      <c r="L44" s="33">
        <f>F44*16.56/100</f>
        <v>33.119999999999997</v>
      </c>
      <c r="M44" s="22">
        <f t="shared" ref="M44:N48" si="14">G44*4+I44*9+K44*4</f>
        <v>165.9</v>
      </c>
      <c r="N44" s="35">
        <f t="shared" si="14"/>
        <v>221.2</v>
      </c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</row>
    <row r="45" spans="2:27" s="16" customFormat="1" ht="15.75" customHeight="1" x14ac:dyDescent="0.25">
      <c r="B45" s="273"/>
      <c r="C45" s="96" t="s">
        <v>116</v>
      </c>
      <c r="D45" s="97" t="s">
        <v>117</v>
      </c>
      <c r="E45" s="137">
        <v>15</v>
      </c>
      <c r="F45" s="95">
        <v>20</v>
      </c>
      <c r="G45" s="22">
        <f>E45*0.8/100</f>
        <v>0.12</v>
      </c>
      <c r="H45" s="33">
        <f>F45*0.8/100</f>
        <v>0.16</v>
      </c>
      <c r="I45" s="22">
        <f>E45*72.5/100</f>
        <v>10.875</v>
      </c>
      <c r="J45" s="33">
        <f>F45*72.5/100</f>
        <v>14.5</v>
      </c>
      <c r="K45" s="22">
        <f>E45*1.3/100</f>
        <v>0.19500000000000001</v>
      </c>
      <c r="L45" s="33">
        <f>F45*1.3/100</f>
        <v>0.26</v>
      </c>
      <c r="M45" s="22">
        <f t="shared" si="14"/>
        <v>99.135000000000005</v>
      </c>
      <c r="N45" s="35">
        <f t="shared" si="14"/>
        <v>132.17999999999998</v>
      </c>
    </row>
    <row r="46" spans="2:27" s="16" customFormat="1" ht="15.75" customHeight="1" x14ac:dyDescent="0.25">
      <c r="B46" s="273"/>
      <c r="C46" s="20" t="s">
        <v>73</v>
      </c>
      <c r="D46" s="9" t="s">
        <v>74</v>
      </c>
      <c r="E46" s="174">
        <v>200</v>
      </c>
      <c r="F46" s="31">
        <v>200</v>
      </c>
      <c r="G46" s="22">
        <f>E46*1.4/200</f>
        <v>1.4</v>
      </c>
      <c r="H46" s="33">
        <f>F46*1.4/200</f>
        <v>1.4</v>
      </c>
      <c r="I46" s="22">
        <f>E46*1.2/200</f>
        <v>1.2</v>
      </c>
      <c r="J46" s="33">
        <f>F46*1.2/200</f>
        <v>1.2</v>
      </c>
      <c r="K46" s="22">
        <f>E46*11.4/200</f>
        <v>11.4</v>
      </c>
      <c r="L46" s="33">
        <f>F46*11.4/200</f>
        <v>11.4</v>
      </c>
      <c r="M46" s="22">
        <f t="shared" si="14"/>
        <v>62</v>
      </c>
      <c r="N46" s="35">
        <f t="shared" si="14"/>
        <v>62</v>
      </c>
    </row>
    <row r="47" spans="2:27" s="16" customFormat="1" ht="15.75" customHeight="1" x14ac:dyDescent="0.25">
      <c r="B47" s="273"/>
      <c r="C47" s="21" t="s">
        <v>79</v>
      </c>
      <c r="D47" s="6" t="s">
        <v>23</v>
      </c>
      <c r="E47" s="62">
        <v>20</v>
      </c>
      <c r="F47" s="63">
        <v>20</v>
      </c>
      <c r="G47" s="22">
        <f>E47*8/100</f>
        <v>1.6</v>
      </c>
      <c r="H47" s="33">
        <f>F47*8/100</f>
        <v>1.6</v>
      </c>
      <c r="I47" s="22">
        <f>E47*1.5/100</f>
        <v>0.3</v>
      </c>
      <c r="J47" s="33">
        <f>F47*1.5/100</f>
        <v>0.3</v>
      </c>
      <c r="K47" s="22">
        <f>E47*40.1/100</f>
        <v>8.02</v>
      </c>
      <c r="L47" s="33">
        <f>F47*40.1/100</f>
        <v>8.02</v>
      </c>
      <c r="M47" s="22">
        <f t="shared" si="14"/>
        <v>41.18</v>
      </c>
      <c r="N47" s="35">
        <f t="shared" si="14"/>
        <v>41.18</v>
      </c>
    </row>
    <row r="48" spans="2:27" ht="15.75" customHeight="1" x14ac:dyDescent="0.25">
      <c r="B48" s="273"/>
      <c r="C48" s="21" t="s">
        <v>80</v>
      </c>
      <c r="D48" s="6" t="s">
        <v>81</v>
      </c>
      <c r="E48" s="62">
        <v>40</v>
      </c>
      <c r="F48" s="63">
        <v>40</v>
      </c>
      <c r="G48" s="22">
        <f>E48*7.6/100</f>
        <v>3.04</v>
      </c>
      <c r="H48" s="33">
        <f>F48*7.6/100</f>
        <v>3.04</v>
      </c>
      <c r="I48" s="22">
        <f>E48*0.8/100</f>
        <v>0.32</v>
      </c>
      <c r="J48" s="33">
        <f>F48*0.8/100</f>
        <v>0.32</v>
      </c>
      <c r="K48" s="22">
        <f>E48*49.2/100</f>
        <v>19.68</v>
      </c>
      <c r="L48" s="33">
        <f>F48*49.2/100</f>
        <v>19.68</v>
      </c>
      <c r="M48" s="22">
        <f t="shared" si="14"/>
        <v>93.759999999999991</v>
      </c>
      <c r="N48" s="35">
        <f t="shared" si="14"/>
        <v>93.759999999999991</v>
      </c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</row>
    <row r="49" spans="2:27" s="16" customFormat="1" ht="15.75" customHeight="1" x14ac:dyDescent="0.25">
      <c r="B49" s="273"/>
      <c r="C49" s="21" t="s">
        <v>112</v>
      </c>
      <c r="D49" s="6" t="s">
        <v>113</v>
      </c>
      <c r="E49" s="174">
        <v>150</v>
      </c>
      <c r="F49" s="31">
        <v>150</v>
      </c>
      <c r="G49" s="22">
        <f>E49*0.4/100</f>
        <v>0.6</v>
      </c>
      <c r="H49" s="33">
        <f>F49*0.4/100</f>
        <v>0.6</v>
      </c>
      <c r="I49" s="22">
        <f>E49*0.4/100</f>
        <v>0.6</v>
      </c>
      <c r="J49" s="33">
        <f>F49*0.4/100</f>
        <v>0.6</v>
      </c>
      <c r="K49" s="22">
        <f>E49*9.8/100</f>
        <v>14.7</v>
      </c>
      <c r="L49" s="33">
        <f>F49*9.8/100</f>
        <v>14.7</v>
      </c>
      <c r="M49" s="22">
        <f t="shared" ref="M49" si="15">G49*4+I49*9+K49*4</f>
        <v>66.599999999999994</v>
      </c>
      <c r="N49" s="35">
        <f t="shared" ref="N49" si="16">H49*4+J49*9+L49*4</f>
        <v>66.599999999999994</v>
      </c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0" spans="2:27" s="16" customFormat="1" ht="15.75" customHeight="1" x14ac:dyDescent="0.25">
      <c r="B50" s="273"/>
      <c r="C50" s="26"/>
      <c r="D50" s="4" t="s">
        <v>13</v>
      </c>
      <c r="E50" s="24">
        <f t="shared" ref="E50:L50" si="17">SUM(E44:E49)</f>
        <v>575</v>
      </c>
      <c r="F50" s="32">
        <f t="shared" si="17"/>
        <v>630</v>
      </c>
      <c r="G50" s="154">
        <f>SUM(G44:G49)</f>
        <v>12.19</v>
      </c>
      <c r="H50" s="34">
        <f t="shared" si="17"/>
        <v>14.040000000000001</v>
      </c>
      <c r="I50" s="7">
        <f t="shared" si="17"/>
        <v>18.275000000000002</v>
      </c>
      <c r="J50" s="34">
        <f t="shared" si="17"/>
        <v>23.560000000000002</v>
      </c>
      <c r="K50" s="7">
        <f t="shared" si="17"/>
        <v>78.834999999999994</v>
      </c>
      <c r="L50" s="34">
        <f t="shared" si="17"/>
        <v>87.179999999999993</v>
      </c>
      <c r="M50" s="7">
        <f>G50*4+I50*9+K50*4</f>
        <v>528.57500000000005</v>
      </c>
      <c r="N50" s="36">
        <f t="shared" ref="N50" si="18">H50*4+J50*9+L50*4</f>
        <v>616.92000000000007</v>
      </c>
    </row>
    <row r="51" spans="2:27" x14ac:dyDescent="0.25">
      <c r="B51" s="273"/>
      <c r="C51" s="235" t="s">
        <v>9</v>
      </c>
      <c r="D51" s="236"/>
      <c r="E51" s="236"/>
      <c r="F51" s="236"/>
      <c r="G51" s="236"/>
      <c r="H51" s="236"/>
      <c r="I51" s="236"/>
      <c r="J51" s="236"/>
      <c r="K51" s="236"/>
      <c r="L51" s="236"/>
      <c r="M51" s="236"/>
      <c r="N51" s="237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</row>
    <row r="52" spans="2:27" x14ac:dyDescent="0.25">
      <c r="B52" s="273"/>
      <c r="C52" s="20" t="s">
        <v>132</v>
      </c>
      <c r="D52" s="9" t="s">
        <v>133</v>
      </c>
      <c r="E52" s="84">
        <v>60</v>
      </c>
      <c r="F52" s="37">
        <v>100</v>
      </c>
      <c r="G52" s="22">
        <f>E52*0.6/100</f>
        <v>0.36</v>
      </c>
      <c r="H52" s="33">
        <f>F52*0.6/100</f>
        <v>0.6</v>
      </c>
      <c r="I52" s="22">
        <f>E52*7.1/100</f>
        <v>4.26</v>
      </c>
      <c r="J52" s="33">
        <f>F52*7.1/100</f>
        <v>7.1</v>
      </c>
      <c r="K52" s="22">
        <f>E52*3/100</f>
        <v>1.8</v>
      </c>
      <c r="L52" s="33">
        <f>F52*3/100</f>
        <v>3</v>
      </c>
      <c r="M52" s="23">
        <f>G52*4+I52*9+K52*4</f>
        <v>46.98</v>
      </c>
      <c r="N52" s="41">
        <f>H52*4+J52*9+L52*4</f>
        <v>78.3</v>
      </c>
    </row>
    <row r="53" spans="2:27" s="16" customFormat="1" x14ac:dyDescent="0.25">
      <c r="B53" s="273"/>
      <c r="C53" s="58" t="s">
        <v>138</v>
      </c>
      <c r="D53" s="100" t="s">
        <v>139</v>
      </c>
      <c r="E53" s="83">
        <v>200</v>
      </c>
      <c r="F53" s="43">
        <v>250</v>
      </c>
      <c r="G53" s="22">
        <f>E53*1.6/100</f>
        <v>3.2</v>
      </c>
      <c r="H53" s="33">
        <f>F53*1.6/100</f>
        <v>4</v>
      </c>
      <c r="I53" s="22">
        <f>E53*1.4/100</f>
        <v>2.8</v>
      </c>
      <c r="J53" s="33">
        <f>F53*1.4/100</f>
        <v>3.5</v>
      </c>
      <c r="K53" s="22">
        <f>E53*3.78/100</f>
        <v>7.56</v>
      </c>
      <c r="L53" s="33">
        <f>F53*3.78/100</f>
        <v>9.4499999999999993</v>
      </c>
      <c r="M53" s="23">
        <f t="shared" ref="M53:N55" si="19">G53*4+I53*9+K53*4</f>
        <v>68.239999999999995</v>
      </c>
      <c r="N53" s="41">
        <f t="shared" si="19"/>
        <v>85.3</v>
      </c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</row>
    <row r="54" spans="2:27" x14ac:dyDescent="0.25">
      <c r="B54" s="273"/>
      <c r="C54" s="21" t="s">
        <v>140</v>
      </c>
      <c r="D54" s="6" t="s">
        <v>141</v>
      </c>
      <c r="E54" s="84">
        <v>230</v>
      </c>
      <c r="F54" s="31">
        <v>250</v>
      </c>
      <c r="G54" s="22">
        <f>E54*8.1/100</f>
        <v>18.63</v>
      </c>
      <c r="H54" s="33">
        <f>F54*8.1/100</f>
        <v>20.25</v>
      </c>
      <c r="I54" s="84">
        <f>E54*7.9/100</f>
        <v>18.170000000000002</v>
      </c>
      <c r="J54" s="31">
        <f>F54*7.9/100</f>
        <v>19.75</v>
      </c>
      <c r="K54" s="22">
        <f>E54*18.1/100</f>
        <v>41.63</v>
      </c>
      <c r="L54" s="33">
        <f>F54*18.1/100</f>
        <v>45.25</v>
      </c>
      <c r="M54" s="22">
        <f t="shared" si="19"/>
        <v>404.57000000000005</v>
      </c>
      <c r="N54" s="35">
        <f t="shared" si="19"/>
        <v>439.75</v>
      </c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</row>
    <row r="55" spans="2:27" x14ac:dyDescent="0.25">
      <c r="B55" s="273"/>
      <c r="C55" s="20" t="s">
        <v>46</v>
      </c>
      <c r="D55" s="9" t="s">
        <v>47</v>
      </c>
      <c r="E55" s="84">
        <v>200</v>
      </c>
      <c r="F55" s="31">
        <v>200</v>
      </c>
      <c r="G55" s="22">
        <f>E55*0.6/200</f>
        <v>0.6</v>
      </c>
      <c r="H55" s="33">
        <f>F55*0.6/200</f>
        <v>0.6</v>
      </c>
      <c r="I55" s="22">
        <f t="shared" ref="I55:J55" si="20">E55*0.1/200</f>
        <v>0.1</v>
      </c>
      <c r="J55" s="33">
        <f t="shared" si="20"/>
        <v>0.1</v>
      </c>
      <c r="K55" s="22">
        <f>E55*20.1/200</f>
        <v>20.100000000000001</v>
      </c>
      <c r="L55" s="33">
        <f>F55*20.1/200</f>
        <v>20.100000000000001</v>
      </c>
      <c r="M55" s="22">
        <f t="shared" si="19"/>
        <v>83.7</v>
      </c>
      <c r="N55" s="35">
        <f t="shared" si="19"/>
        <v>83.7</v>
      </c>
    </row>
    <row r="56" spans="2:27" s="16" customFormat="1" x14ac:dyDescent="0.25">
      <c r="B56" s="273"/>
      <c r="C56" s="105" t="s">
        <v>189</v>
      </c>
      <c r="D56" s="106" t="s">
        <v>190</v>
      </c>
      <c r="E56" s="107">
        <v>60</v>
      </c>
      <c r="F56" s="108">
        <v>60</v>
      </c>
      <c r="G56" s="109">
        <f>E56*6.28/100</f>
        <v>3.7680000000000002</v>
      </c>
      <c r="H56" s="110">
        <f>F56*6.28/100</f>
        <v>3.7680000000000002</v>
      </c>
      <c r="I56" s="109">
        <f>E56*5.71/100</f>
        <v>3.4260000000000002</v>
      </c>
      <c r="J56" s="110">
        <f>F56*5.71/100</f>
        <v>3.4260000000000002</v>
      </c>
      <c r="K56" s="109">
        <f>E56*35.68/100</f>
        <v>21.408000000000001</v>
      </c>
      <c r="L56" s="110">
        <f>F56*35.68/100</f>
        <v>21.408000000000001</v>
      </c>
      <c r="M56" s="109">
        <f>G56*4+I56*9+K56*4</f>
        <v>131.53800000000001</v>
      </c>
      <c r="N56" s="111">
        <f>H56*4+J56*9+L56*4</f>
        <v>131.53800000000001</v>
      </c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</row>
    <row r="57" spans="2:27" x14ac:dyDescent="0.25">
      <c r="B57" s="273"/>
      <c r="C57" s="21" t="s">
        <v>79</v>
      </c>
      <c r="D57" s="6" t="s">
        <v>23</v>
      </c>
      <c r="E57" s="62">
        <v>20</v>
      </c>
      <c r="F57" s="63">
        <v>20</v>
      </c>
      <c r="G57" s="22">
        <f>E57*8/100</f>
        <v>1.6</v>
      </c>
      <c r="H57" s="33">
        <f>F57*8/100</f>
        <v>1.6</v>
      </c>
      <c r="I57" s="22">
        <f>E57*1.5/100</f>
        <v>0.3</v>
      </c>
      <c r="J57" s="33">
        <f>F57*1.5/100</f>
        <v>0.3</v>
      </c>
      <c r="K57" s="22">
        <f>E57*40.1/100</f>
        <v>8.02</v>
      </c>
      <c r="L57" s="33">
        <f>F57*40.1/100</f>
        <v>8.02</v>
      </c>
      <c r="M57" s="22">
        <f t="shared" ref="M57:N58" si="21">G57*4+I57*9+K57*4</f>
        <v>41.18</v>
      </c>
      <c r="N57" s="35">
        <f t="shared" si="21"/>
        <v>41.18</v>
      </c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</row>
    <row r="58" spans="2:27" x14ac:dyDescent="0.25">
      <c r="B58" s="273"/>
      <c r="C58" s="21" t="s">
        <v>80</v>
      </c>
      <c r="D58" s="6" t="s">
        <v>81</v>
      </c>
      <c r="E58" s="62">
        <v>30</v>
      </c>
      <c r="F58" s="63">
        <v>40</v>
      </c>
      <c r="G58" s="22">
        <f>E58*7.6/100</f>
        <v>2.2799999999999998</v>
      </c>
      <c r="H58" s="33">
        <f>F58*7.6/100</f>
        <v>3.04</v>
      </c>
      <c r="I58" s="22">
        <f>E58*0.8/100</f>
        <v>0.24</v>
      </c>
      <c r="J58" s="33">
        <f>F58*0.8/100</f>
        <v>0.32</v>
      </c>
      <c r="K58" s="22">
        <f>E58*49.2/100</f>
        <v>14.76</v>
      </c>
      <c r="L58" s="33">
        <f>F58*49.2/100</f>
        <v>19.68</v>
      </c>
      <c r="M58" s="22">
        <f t="shared" si="21"/>
        <v>70.319999999999993</v>
      </c>
      <c r="N58" s="35">
        <f t="shared" si="21"/>
        <v>93.759999999999991</v>
      </c>
    </row>
    <row r="59" spans="2:27" x14ac:dyDescent="0.25">
      <c r="B59" s="273"/>
      <c r="C59" s="21"/>
      <c r="D59" s="4" t="s">
        <v>14</v>
      </c>
      <c r="E59" s="24">
        <f>SUM(E34:E58)</f>
        <v>3490</v>
      </c>
      <c r="F59" s="38">
        <f>SUM(F34:F58)</f>
        <v>3980</v>
      </c>
      <c r="G59" s="7">
        <f>SUM(G52:G58)</f>
        <v>30.438000000000002</v>
      </c>
      <c r="H59" s="34">
        <f t="shared" ref="H59:N59" si="22">SUM(H52:H58)</f>
        <v>33.858000000000004</v>
      </c>
      <c r="I59" s="7">
        <f>SUM(I52:I58)</f>
        <v>29.295999999999999</v>
      </c>
      <c r="J59" s="34">
        <f t="shared" si="22"/>
        <v>34.496000000000002</v>
      </c>
      <c r="K59" s="7">
        <f t="shared" si="22"/>
        <v>115.27800000000001</v>
      </c>
      <c r="L59" s="34">
        <f t="shared" si="22"/>
        <v>126.90800000000002</v>
      </c>
      <c r="M59" s="7">
        <f>SUM(M52:M58)</f>
        <v>846.52800000000002</v>
      </c>
      <c r="N59" s="34">
        <f t="shared" si="22"/>
        <v>953.52800000000002</v>
      </c>
    </row>
    <row r="60" spans="2:27" ht="15.75" thickBot="1" x14ac:dyDescent="0.3">
      <c r="B60" s="274"/>
      <c r="C60" s="25"/>
      <c r="D60" s="17" t="s">
        <v>12</v>
      </c>
      <c r="E60" s="18"/>
      <c r="F60" s="39"/>
      <c r="G60" s="19">
        <f>G50+G59</f>
        <v>42.628</v>
      </c>
      <c r="H60" s="40">
        <f t="shared" ref="H60:N60" si="23">H50+H59</f>
        <v>47.898000000000003</v>
      </c>
      <c r="I60" s="19">
        <f t="shared" si="23"/>
        <v>47.570999999999998</v>
      </c>
      <c r="J60" s="40">
        <f t="shared" si="23"/>
        <v>58.056000000000004</v>
      </c>
      <c r="K60" s="19">
        <f t="shared" si="23"/>
        <v>194.113</v>
      </c>
      <c r="L60" s="40">
        <f t="shared" si="23"/>
        <v>214.08800000000002</v>
      </c>
      <c r="M60" s="19">
        <f>M50+M59</f>
        <v>1375.1030000000001</v>
      </c>
      <c r="N60" s="42">
        <f t="shared" si="23"/>
        <v>1570.4480000000001</v>
      </c>
    </row>
    <row r="61" spans="2:27" x14ac:dyDescent="0.25">
      <c r="J61" s="1"/>
    </row>
    <row r="62" spans="2:27" x14ac:dyDescent="0.25">
      <c r="D62" s="14" t="s">
        <v>24</v>
      </c>
    </row>
  </sheetData>
  <mergeCells count="19">
    <mergeCell ref="B43:B60"/>
    <mergeCell ref="C51:N51"/>
    <mergeCell ref="C6:N6"/>
    <mergeCell ref="C24:N24"/>
    <mergeCell ref="C33:N33"/>
    <mergeCell ref="C43:N43"/>
    <mergeCell ref="B6:B23"/>
    <mergeCell ref="B24:B42"/>
    <mergeCell ref="C14:N14"/>
    <mergeCell ref="M3:N4"/>
    <mergeCell ref="G4:H4"/>
    <mergeCell ref="I4:J4"/>
    <mergeCell ref="K4:L4"/>
    <mergeCell ref="G3:L3"/>
    <mergeCell ref="B2:E2"/>
    <mergeCell ref="B3:B5"/>
    <mergeCell ref="C3:C5"/>
    <mergeCell ref="D3:D5"/>
    <mergeCell ref="E3:F4"/>
  </mergeCells>
  <pageMargins left="0.23622047244094491" right="0.23622047244094491" top="0.19685039370078741" bottom="0.19685039370078741" header="0.31496062992125984" footer="0.31496062992125984"/>
  <pageSetup paperSize="9" scale="77" fitToHeight="0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B1:Z83"/>
  <sheetViews>
    <sheetView topLeftCell="A38" zoomScale="90" zoomScaleNormal="90" workbookViewId="0">
      <selection activeCell="A47" sqref="A47:XFD47"/>
    </sheetView>
  </sheetViews>
  <sheetFormatPr defaultRowHeight="15" x14ac:dyDescent="0.25"/>
  <cols>
    <col min="1" max="1" width="5.7109375" style="14" customWidth="1"/>
    <col min="2" max="2" width="2.7109375" style="14" customWidth="1"/>
    <col min="3" max="3" width="10.5703125" style="14" customWidth="1"/>
    <col min="4" max="4" width="37" style="14" customWidth="1"/>
    <col min="5" max="6" width="7.28515625" style="14" customWidth="1"/>
    <col min="7" max="7" width="6.7109375" style="14" customWidth="1"/>
    <col min="8" max="8" width="6.85546875" style="14" customWidth="1"/>
    <col min="9" max="9" width="6.42578125" style="14" customWidth="1"/>
    <col min="10" max="10" width="6.5703125" style="14" customWidth="1"/>
    <col min="11" max="11" width="7.5703125" style="14" customWidth="1"/>
    <col min="12" max="12" width="7.42578125" style="14" customWidth="1"/>
    <col min="13" max="13" width="8.5703125" style="14" customWidth="1"/>
    <col min="14" max="14" width="7.5703125" style="14" customWidth="1"/>
    <col min="15" max="15" width="9" style="14" customWidth="1"/>
    <col min="16" max="16" width="7.28515625" style="14" customWidth="1"/>
    <col min="17" max="20" width="9.140625" style="14"/>
    <col min="21" max="21" width="19.7109375" style="14" customWidth="1"/>
    <col min="22" max="22" width="7.7109375" style="14" customWidth="1"/>
    <col min="23" max="23" width="9.140625" style="14"/>
    <col min="24" max="24" width="7.7109375" style="14" customWidth="1"/>
    <col min="25" max="16384" width="9.140625" style="14"/>
  </cols>
  <sheetData>
    <row r="1" spans="2:26" ht="22.5" customHeight="1" x14ac:dyDescent="0.25"/>
    <row r="2" spans="2:26" ht="15" customHeight="1" thickBot="1" x14ac:dyDescent="0.3">
      <c r="B2" s="238" t="s">
        <v>48</v>
      </c>
      <c r="C2" s="238"/>
      <c r="D2" s="238"/>
      <c r="E2" s="238"/>
      <c r="O2" s="2"/>
      <c r="P2" s="2"/>
      <c r="Q2" s="1"/>
      <c r="R2" s="1"/>
      <c r="S2" s="1"/>
      <c r="T2" s="1"/>
      <c r="U2" s="2"/>
      <c r="V2" s="2"/>
      <c r="W2" s="1"/>
      <c r="X2" s="1"/>
      <c r="Y2" s="1"/>
      <c r="Z2" s="1"/>
    </row>
    <row r="3" spans="2:26" ht="15" customHeight="1" x14ac:dyDescent="0.25">
      <c r="B3" s="239" t="s">
        <v>38</v>
      </c>
      <c r="C3" s="253" t="s">
        <v>0</v>
      </c>
      <c r="D3" s="256" t="s">
        <v>1</v>
      </c>
      <c r="E3" s="259" t="s">
        <v>6</v>
      </c>
      <c r="F3" s="260"/>
      <c r="G3" s="263" t="s">
        <v>7</v>
      </c>
      <c r="H3" s="263"/>
      <c r="I3" s="263"/>
      <c r="J3" s="263"/>
      <c r="K3" s="263"/>
      <c r="L3" s="263"/>
      <c r="M3" s="264" t="s">
        <v>5</v>
      </c>
      <c r="N3" s="265"/>
      <c r="O3" s="1"/>
      <c r="P3" s="3"/>
      <c r="Q3" s="5"/>
      <c r="R3" s="5"/>
      <c r="S3" s="5"/>
      <c r="T3" s="5"/>
      <c r="U3" s="1"/>
      <c r="V3" s="3"/>
      <c r="W3" s="5"/>
      <c r="X3" s="5"/>
      <c r="Y3" s="5"/>
      <c r="Z3" s="5"/>
    </row>
    <row r="4" spans="2:26" x14ac:dyDescent="0.25">
      <c r="B4" s="240"/>
      <c r="C4" s="254"/>
      <c r="D4" s="257"/>
      <c r="E4" s="261"/>
      <c r="F4" s="262"/>
      <c r="G4" s="268" t="s">
        <v>3</v>
      </c>
      <c r="H4" s="268"/>
      <c r="I4" s="266" t="s">
        <v>2</v>
      </c>
      <c r="J4" s="266"/>
      <c r="K4" s="268" t="s">
        <v>4</v>
      </c>
      <c r="L4" s="268"/>
      <c r="M4" s="266"/>
      <c r="N4" s="267"/>
      <c r="O4" s="1"/>
      <c r="P4" s="3"/>
      <c r="Q4" s="5"/>
      <c r="R4" s="5"/>
      <c r="S4" s="5"/>
      <c r="T4" s="5"/>
      <c r="U4" s="1"/>
      <c r="V4" s="3"/>
      <c r="W4" s="5"/>
      <c r="X4" s="5"/>
      <c r="Y4" s="5"/>
      <c r="Z4" s="5"/>
    </row>
    <row r="5" spans="2:26" ht="27.75" customHeight="1" thickBot="1" x14ac:dyDescent="0.3">
      <c r="B5" s="241"/>
      <c r="C5" s="255"/>
      <c r="D5" s="258"/>
      <c r="E5" s="27" t="s">
        <v>15</v>
      </c>
      <c r="F5" s="28" t="s">
        <v>43</v>
      </c>
      <c r="G5" s="27" t="s">
        <v>15</v>
      </c>
      <c r="H5" s="28" t="s">
        <v>43</v>
      </c>
      <c r="I5" s="27" t="s">
        <v>15</v>
      </c>
      <c r="J5" s="28" t="s">
        <v>43</v>
      </c>
      <c r="K5" s="27" t="s">
        <v>15</v>
      </c>
      <c r="L5" s="28" t="s">
        <v>43</v>
      </c>
      <c r="M5" s="27" t="s">
        <v>15</v>
      </c>
      <c r="N5" s="29" t="s">
        <v>43</v>
      </c>
      <c r="O5" s="1"/>
      <c r="P5" s="3"/>
      <c r="Q5" s="5"/>
      <c r="R5" s="5"/>
      <c r="S5" s="5"/>
      <c r="T5" s="5"/>
      <c r="U5" s="1"/>
      <c r="V5" s="3"/>
      <c r="W5" s="5"/>
      <c r="X5" s="5"/>
      <c r="Y5" s="5"/>
      <c r="Z5" s="5"/>
    </row>
    <row r="6" spans="2:26" x14ac:dyDescent="0.25">
      <c r="B6" s="245" t="s">
        <v>176</v>
      </c>
      <c r="C6" s="242" t="s">
        <v>8</v>
      </c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4"/>
      <c r="O6" s="1"/>
      <c r="P6" s="3"/>
      <c r="Q6" s="5"/>
      <c r="R6" s="5"/>
      <c r="S6" s="5"/>
      <c r="T6" s="5"/>
      <c r="U6" s="1"/>
      <c r="V6" s="3"/>
      <c r="W6" s="5"/>
      <c r="X6" s="5"/>
      <c r="Y6" s="5"/>
      <c r="Z6" s="5"/>
    </row>
    <row r="7" spans="2:26" x14ac:dyDescent="0.25">
      <c r="B7" s="246"/>
      <c r="C7" s="20" t="s">
        <v>86</v>
      </c>
      <c r="D7" s="9" t="s">
        <v>82</v>
      </c>
      <c r="E7" s="177">
        <v>150</v>
      </c>
      <c r="F7" s="30">
        <v>200</v>
      </c>
      <c r="G7" s="22">
        <f>E7*2.5/100</f>
        <v>3.75</v>
      </c>
      <c r="H7" s="33">
        <f>F7*2.5/100</f>
        <v>5</v>
      </c>
      <c r="I7" s="22">
        <f>E7*3.2/100</f>
        <v>4.8</v>
      </c>
      <c r="J7" s="33">
        <f>F7*3.2/100</f>
        <v>6.4</v>
      </c>
      <c r="K7" s="22">
        <f>E7*13.45/100</f>
        <v>20.175000000000001</v>
      </c>
      <c r="L7" s="33">
        <f>F7*13.46/100</f>
        <v>26.92</v>
      </c>
      <c r="M7" s="22">
        <f t="shared" ref="M7:N7" si="0">G7*4+I7*9+K7*4</f>
        <v>138.9</v>
      </c>
      <c r="N7" s="35">
        <f t="shared" si="0"/>
        <v>185.28</v>
      </c>
      <c r="O7" s="1"/>
      <c r="P7" s="3"/>
      <c r="Q7" s="5"/>
      <c r="R7" s="5"/>
      <c r="S7" s="5"/>
      <c r="T7" s="5"/>
      <c r="U7" s="1"/>
      <c r="V7" s="3"/>
      <c r="W7" s="5"/>
      <c r="X7" s="5"/>
      <c r="Y7" s="5"/>
      <c r="Z7" s="5"/>
    </row>
    <row r="8" spans="2:26" s="16" customFormat="1" x14ac:dyDescent="0.25">
      <c r="B8" s="246"/>
      <c r="C8" s="96" t="s">
        <v>116</v>
      </c>
      <c r="D8" s="97" t="s">
        <v>117</v>
      </c>
      <c r="E8" s="177">
        <v>10</v>
      </c>
      <c r="F8" s="95">
        <v>10</v>
      </c>
      <c r="G8" s="22">
        <f>E8*0.8/100</f>
        <v>0.08</v>
      </c>
      <c r="H8" s="33">
        <f>F8*0.8/100</f>
        <v>0.08</v>
      </c>
      <c r="I8" s="22">
        <f>E8*72.5/100</f>
        <v>7.25</v>
      </c>
      <c r="J8" s="33">
        <f>F8*72.5/100</f>
        <v>7.25</v>
      </c>
      <c r="K8" s="22">
        <f>E8*1.3/100</f>
        <v>0.13</v>
      </c>
      <c r="L8" s="33">
        <f>F8*1.3/100</f>
        <v>0.13</v>
      </c>
      <c r="M8" s="22">
        <f t="shared" ref="M8:N9" si="1">G8*4+I8*9+K8*4</f>
        <v>66.089999999999989</v>
      </c>
      <c r="N8" s="35">
        <f t="shared" si="1"/>
        <v>66.089999999999989</v>
      </c>
      <c r="O8" s="1"/>
      <c r="P8" s="3"/>
      <c r="Q8" s="5"/>
      <c r="R8" s="5"/>
      <c r="S8" s="5"/>
      <c r="T8" s="5"/>
      <c r="U8" s="1"/>
      <c r="V8" s="3"/>
      <c r="W8" s="5"/>
      <c r="X8" s="5"/>
      <c r="Y8" s="5"/>
      <c r="Z8" s="5"/>
    </row>
    <row r="9" spans="2:26" s="16" customFormat="1" x14ac:dyDescent="0.25">
      <c r="B9" s="246"/>
      <c r="C9" s="96" t="s">
        <v>110</v>
      </c>
      <c r="D9" s="97" t="s">
        <v>111</v>
      </c>
      <c r="E9" s="84">
        <v>15</v>
      </c>
      <c r="F9" s="95">
        <v>15</v>
      </c>
      <c r="G9" s="22">
        <f>E9*23.2/100</f>
        <v>3.48</v>
      </c>
      <c r="H9" s="33">
        <f>F9*23.2/100</f>
        <v>3.48</v>
      </c>
      <c r="I9" s="22">
        <f>E9*29.5/100</f>
        <v>4.4249999999999998</v>
      </c>
      <c r="J9" s="33">
        <f>F9*29.5/100</f>
        <v>4.4249999999999998</v>
      </c>
      <c r="K9" s="22">
        <f>E9*0/100</f>
        <v>0</v>
      </c>
      <c r="L9" s="33">
        <f>F9*0/100</f>
        <v>0</v>
      </c>
      <c r="M9" s="22">
        <f t="shared" si="1"/>
        <v>53.744999999999997</v>
      </c>
      <c r="N9" s="35">
        <f t="shared" si="1"/>
        <v>53.744999999999997</v>
      </c>
      <c r="O9" s="1"/>
      <c r="P9" s="3"/>
      <c r="Q9" s="5"/>
      <c r="R9" s="5"/>
      <c r="S9" s="5"/>
      <c r="T9" s="5"/>
      <c r="U9" s="1"/>
      <c r="V9" s="3"/>
      <c r="W9" s="5"/>
      <c r="X9" s="5"/>
      <c r="Y9" s="5"/>
      <c r="Z9" s="5"/>
    </row>
    <row r="10" spans="2:26" s="16" customFormat="1" x14ac:dyDescent="0.25">
      <c r="B10" s="246"/>
      <c r="C10" s="20" t="s">
        <v>221</v>
      </c>
      <c r="D10" s="8" t="s">
        <v>222</v>
      </c>
      <c r="E10" s="137">
        <v>25</v>
      </c>
      <c r="F10" s="30">
        <v>25</v>
      </c>
      <c r="G10" s="22">
        <f>E10*12.7/100</f>
        <v>3.1749999999999998</v>
      </c>
      <c r="H10" s="33">
        <f>F10*12.7/100</f>
        <v>3.1749999999999998</v>
      </c>
      <c r="I10" s="22">
        <f>E10*11.5/100</f>
        <v>2.875</v>
      </c>
      <c r="J10" s="33">
        <f>F10*11.5/100</f>
        <v>2.875</v>
      </c>
      <c r="K10" s="22">
        <f>E10*0.07/100</f>
        <v>1.7500000000000002E-2</v>
      </c>
      <c r="L10" s="33">
        <f>F10*0.07/100</f>
        <v>1.7500000000000002E-2</v>
      </c>
      <c r="M10" s="22">
        <f>G10*4+I10*9+K10*4</f>
        <v>38.645000000000003</v>
      </c>
      <c r="N10" s="35">
        <f>H10*4+J10*9+L10*4</f>
        <v>38.645000000000003</v>
      </c>
      <c r="O10" s="1"/>
      <c r="P10" s="3"/>
      <c r="Q10" s="5"/>
      <c r="R10" s="5"/>
      <c r="S10" s="5"/>
      <c r="T10" s="5"/>
      <c r="U10" s="1"/>
      <c r="V10" s="3"/>
      <c r="W10" s="5"/>
      <c r="X10" s="5"/>
      <c r="Y10" s="5"/>
      <c r="Z10" s="5"/>
    </row>
    <row r="11" spans="2:26" s="16" customFormat="1" x14ac:dyDescent="0.25">
      <c r="B11" s="246"/>
      <c r="C11" s="20" t="s">
        <v>45</v>
      </c>
      <c r="D11" s="9" t="s">
        <v>16</v>
      </c>
      <c r="E11" s="84">
        <v>200</v>
      </c>
      <c r="F11" s="31">
        <v>200</v>
      </c>
      <c r="G11" s="22">
        <f>E11*0.2/200</f>
        <v>0.2</v>
      </c>
      <c r="H11" s="33">
        <f>F11*0.2/200</f>
        <v>0.2</v>
      </c>
      <c r="I11" s="22">
        <f t="shared" ref="I11" si="2">E11*0.1/200</f>
        <v>0.1</v>
      </c>
      <c r="J11" s="33">
        <f t="shared" ref="J11" si="3">F11*0.1/200</f>
        <v>0.1</v>
      </c>
      <c r="K11" s="22">
        <f>E11*9.3/200</f>
        <v>9.3000000000000007</v>
      </c>
      <c r="L11" s="33">
        <f>F11*9.3/200</f>
        <v>9.3000000000000007</v>
      </c>
      <c r="M11" s="22">
        <f>G11*4+I11*9+K11*4</f>
        <v>38.900000000000006</v>
      </c>
      <c r="N11" s="35">
        <f>H11*4+J11*9+L11*4</f>
        <v>38.900000000000006</v>
      </c>
      <c r="O11" s="1"/>
      <c r="P11" s="3"/>
      <c r="Q11" s="5"/>
      <c r="R11" s="5"/>
      <c r="S11" s="5"/>
      <c r="T11" s="5"/>
      <c r="U11" s="1"/>
      <c r="V11" s="3"/>
      <c r="W11" s="5"/>
      <c r="X11" s="5"/>
      <c r="Y11" s="5"/>
      <c r="Z11" s="5"/>
    </row>
    <row r="12" spans="2:26" s="16" customFormat="1" x14ac:dyDescent="0.25">
      <c r="B12" s="246"/>
      <c r="C12" s="21" t="s">
        <v>79</v>
      </c>
      <c r="D12" s="6" t="s">
        <v>23</v>
      </c>
      <c r="E12" s="62">
        <v>20</v>
      </c>
      <c r="F12" s="63">
        <v>20</v>
      </c>
      <c r="G12" s="22">
        <f>E12*8/100</f>
        <v>1.6</v>
      </c>
      <c r="H12" s="33">
        <f>F12*8/100</f>
        <v>1.6</v>
      </c>
      <c r="I12" s="22">
        <f>E12*1.5/100</f>
        <v>0.3</v>
      </c>
      <c r="J12" s="33">
        <f>F12*1.5/100</f>
        <v>0.3</v>
      </c>
      <c r="K12" s="22">
        <f>E12*40.1/100</f>
        <v>8.02</v>
      </c>
      <c r="L12" s="33">
        <f>F12*40.1/100</f>
        <v>8.02</v>
      </c>
      <c r="M12" s="22">
        <f t="shared" ref="M12" si="4">G12*4+I12*9+K12*4</f>
        <v>41.18</v>
      </c>
      <c r="N12" s="35">
        <f t="shared" ref="N12" si="5">H12*4+J12*9+L12*4</f>
        <v>41.18</v>
      </c>
      <c r="O12" s="1"/>
      <c r="P12" s="3"/>
      <c r="Q12" s="5"/>
      <c r="R12" s="5"/>
      <c r="S12" s="5"/>
      <c r="T12" s="5"/>
      <c r="U12" s="1"/>
      <c r="V12" s="3"/>
      <c r="W12" s="5"/>
      <c r="X12" s="5"/>
      <c r="Y12" s="5"/>
      <c r="Z12" s="5"/>
    </row>
    <row r="13" spans="2:26" x14ac:dyDescent="0.25">
      <c r="B13" s="246"/>
      <c r="C13" s="21" t="s">
        <v>80</v>
      </c>
      <c r="D13" s="6" t="s">
        <v>81</v>
      </c>
      <c r="E13" s="62">
        <v>40</v>
      </c>
      <c r="F13" s="63">
        <v>40</v>
      </c>
      <c r="G13" s="22">
        <f>E13*7.6/100</f>
        <v>3.04</v>
      </c>
      <c r="H13" s="33">
        <f>F13*7.6/100</f>
        <v>3.04</v>
      </c>
      <c r="I13" s="22">
        <f>E13*0.8/100</f>
        <v>0.32</v>
      </c>
      <c r="J13" s="33">
        <f>F13*0.8/100</f>
        <v>0.32</v>
      </c>
      <c r="K13" s="22">
        <f>E13*49.2/100</f>
        <v>19.68</v>
      </c>
      <c r="L13" s="33">
        <f>F13*49.2/100</f>
        <v>19.68</v>
      </c>
      <c r="M13" s="22">
        <f t="shared" ref="M13:N13" si="6">G13*4+I13*9+K13*4</f>
        <v>93.759999999999991</v>
      </c>
      <c r="N13" s="35">
        <f t="shared" si="6"/>
        <v>93.759999999999991</v>
      </c>
      <c r="O13" s="1"/>
      <c r="P13" s="3"/>
      <c r="Q13" s="5"/>
      <c r="R13" s="5"/>
      <c r="S13" s="5"/>
      <c r="T13" s="5"/>
      <c r="U13" s="1"/>
      <c r="V13" s="3"/>
      <c r="W13" s="5"/>
      <c r="X13" s="5"/>
      <c r="Y13" s="5"/>
      <c r="Z13" s="5"/>
    </row>
    <row r="14" spans="2:26" s="16" customFormat="1" x14ac:dyDescent="0.25">
      <c r="B14" s="246"/>
      <c r="C14" s="21" t="s">
        <v>112</v>
      </c>
      <c r="D14" s="6" t="s">
        <v>113</v>
      </c>
      <c r="E14" s="177">
        <v>150</v>
      </c>
      <c r="F14" s="31">
        <v>150</v>
      </c>
      <c r="G14" s="22">
        <f>E14*0.4/100</f>
        <v>0.6</v>
      </c>
      <c r="H14" s="33">
        <f>F14*0.4/100</f>
        <v>0.6</v>
      </c>
      <c r="I14" s="22">
        <f>E14*0.4/100</f>
        <v>0.6</v>
      </c>
      <c r="J14" s="33">
        <f>F14*0.4/100</f>
        <v>0.6</v>
      </c>
      <c r="K14" s="22">
        <f>E14*9.8/100</f>
        <v>14.7</v>
      </c>
      <c r="L14" s="33">
        <f>F14*9.8/100</f>
        <v>14.7</v>
      </c>
      <c r="M14" s="22">
        <f>G14*4+I14*9+K14*4</f>
        <v>66.599999999999994</v>
      </c>
      <c r="N14" s="35">
        <f>H14*4+J14*9+L14*4</f>
        <v>66.599999999999994</v>
      </c>
      <c r="O14" s="1"/>
      <c r="P14" s="3"/>
      <c r="Q14" s="5"/>
      <c r="R14" s="5"/>
      <c r="S14" s="5"/>
      <c r="T14" s="5"/>
      <c r="U14" s="1"/>
      <c r="V14" s="3"/>
      <c r="W14" s="5"/>
      <c r="X14" s="5"/>
      <c r="Y14" s="5"/>
      <c r="Z14" s="5"/>
    </row>
    <row r="15" spans="2:26" x14ac:dyDescent="0.25">
      <c r="B15" s="246"/>
      <c r="C15" s="26"/>
      <c r="D15" s="4" t="s">
        <v>13</v>
      </c>
      <c r="E15" s="24">
        <f>SUM(E7:E13)</f>
        <v>460</v>
      </c>
      <c r="F15" s="32">
        <f>SUM(F7:F13)</f>
        <v>510</v>
      </c>
      <c r="G15" s="178">
        <f t="shared" ref="G15:L15" si="7">SUM(G7:G14)</f>
        <v>15.924999999999999</v>
      </c>
      <c r="H15" s="34">
        <f t="shared" si="7"/>
        <v>17.175000000000001</v>
      </c>
      <c r="I15" s="7">
        <f t="shared" si="7"/>
        <v>20.670000000000005</v>
      </c>
      <c r="J15" s="34">
        <f t="shared" si="7"/>
        <v>22.270000000000003</v>
      </c>
      <c r="K15" s="178">
        <f t="shared" si="7"/>
        <v>72.022499999999994</v>
      </c>
      <c r="L15" s="34">
        <f t="shared" si="7"/>
        <v>78.767499999999998</v>
      </c>
      <c r="M15" s="7">
        <f>G15*4+I15*9+K15*4</f>
        <v>537.82000000000005</v>
      </c>
      <c r="N15" s="36">
        <f>H15*4+J15*9+L15*4</f>
        <v>584.20000000000005</v>
      </c>
      <c r="O15" s="1"/>
      <c r="P15" s="3"/>
      <c r="Q15" s="5"/>
      <c r="R15" s="5"/>
      <c r="S15" s="5"/>
      <c r="T15" s="5"/>
      <c r="U15" s="1"/>
      <c r="V15" s="3"/>
      <c r="W15" s="5"/>
      <c r="X15" s="5"/>
      <c r="Y15" s="5"/>
      <c r="Z15" s="5"/>
    </row>
    <row r="16" spans="2:26" x14ac:dyDescent="0.25">
      <c r="B16" s="246"/>
      <c r="C16" s="235" t="s">
        <v>9</v>
      </c>
      <c r="D16" s="236"/>
      <c r="E16" s="236"/>
      <c r="F16" s="236"/>
      <c r="G16" s="236"/>
      <c r="H16" s="236"/>
      <c r="I16" s="236"/>
      <c r="J16" s="236"/>
      <c r="K16" s="236"/>
      <c r="L16" s="236"/>
      <c r="M16" s="236"/>
      <c r="N16" s="237"/>
      <c r="O16" s="1"/>
      <c r="P16" s="3"/>
      <c r="Q16" s="5"/>
      <c r="R16" s="5"/>
      <c r="S16" s="5"/>
      <c r="T16" s="5"/>
      <c r="U16" s="1"/>
      <c r="V16" s="3"/>
      <c r="W16" s="5"/>
      <c r="X16" s="5"/>
      <c r="Y16" s="5"/>
      <c r="Z16" s="5"/>
    </row>
    <row r="17" spans="2:26" s="16" customFormat="1" x14ac:dyDescent="0.25">
      <c r="B17" s="246"/>
      <c r="C17" s="20" t="s">
        <v>142</v>
      </c>
      <c r="D17" s="9" t="s">
        <v>143</v>
      </c>
      <c r="E17" s="83">
        <v>60</v>
      </c>
      <c r="F17" s="43">
        <v>100</v>
      </c>
      <c r="G17" s="23">
        <f>E17*1/100</f>
        <v>0.6</v>
      </c>
      <c r="H17" s="44">
        <f>F17*1/100</f>
        <v>1</v>
      </c>
      <c r="I17" s="23">
        <f>E17*6.1/100</f>
        <v>3.66</v>
      </c>
      <c r="J17" s="44">
        <f>F17*6.1/100</f>
        <v>6.1</v>
      </c>
      <c r="K17" s="23">
        <f>E17*3.5/100</f>
        <v>2.1</v>
      </c>
      <c r="L17" s="44">
        <f>F17*3.5/100</f>
        <v>3.5</v>
      </c>
      <c r="M17" s="23">
        <f t="shared" ref="M17:N20" si="8">G17*4+I17*9+K17*4</f>
        <v>43.739999999999995</v>
      </c>
      <c r="N17" s="41">
        <f t="shared" si="8"/>
        <v>72.900000000000006</v>
      </c>
      <c r="O17" s="1"/>
      <c r="P17" s="3"/>
      <c r="Q17" s="5"/>
      <c r="R17" s="5"/>
      <c r="S17" s="5"/>
      <c r="T17" s="5"/>
      <c r="U17" s="1"/>
      <c r="V17" s="3"/>
      <c r="W17" s="5"/>
      <c r="X17" s="5"/>
      <c r="Y17" s="5"/>
      <c r="Z17" s="5"/>
    </row>
    <row r="18" spans="2:26" s="16" customFormat="1" x14ac:dyDescent="0.25">
      <c r="B18" s="246"/>
      <c r="C18" s="20" t="s">
        <v>19</v>
      </c>
      <c r="D18" s="8" t="s">
        <v>83</v>
      </c>
      <c r="E18" s="83">
        <v>200</v>
      </c>
      <c r="F18" s="43">
        <v>250</v>
      </c>
      <c r="G18" s="23">
        <f>E18*2.9/250</f>
        <v>2.3199999999999998</v>
      </c>
      <c r="H18" s="44">
        <f>F18*2.9/250</f>
        <v>2.9</v>
      </c>
      <c r="I18" s="23">
        <f>E18*2.5/250</f>
        <v>2</v>
      </c>
      <c r="J18" s="44">
        <f>F18*2.5/250</f>
        <v>2.5</v>
      </c>
      <c r="K18" s="23">
        <f>E18*21/250</f>
        <v>16.8</v>
      </c>
      <c r="L18" s="44">
        <f>F18*21/250</f>
        <v>21</v>
      </c>
      <c r="M18" s="23">
        <f t="shared" si="8"/>
        <v>94.48</v>
      </c>
      <c r="N18" s="41">
        <f t="shared" si="8"/>
        <v>118.1</v>
      </c>
      <c r="O18" s="1"/>
      <c r="P18" s="3"/>
      <c r="Q18" s="5"/>
      <c r="R18" s="5"/>
      <c r="S18" s="5"/>
      <c r="T18" s="5"/>
      <c r="U18" s="1"/>
      <c r="V18" s="3"/>
      <c r="W18" s="5"/>
      <c r="X18" s="5"/>
      <c r="Y18" s="5"/>
      <c r="Z18" s="5"/>
    </row>
    <row r="19" spans="2:26" s="16" customFormat="1" x14ac:dyDescent="0.25">
      <c r="B19" s="246"/>
      <c r="C19" s="20" t="s">
        <v>144</v>
      </c>
      <c r="D19" s="8" t="s">
        <v>145</v>
      </c>
      <c r="E19" s="84">
        <v>150</v>
      </c>
      <c r="F19" s="31">
        <v>180</v>
      </c>
      <c r="G19" s="22">
        <f>E19*11/100</f>
        <v>16.5</v>
      </c>
      <c r="H19" s="33">
        <f>F19*11/100</f>
        <v>19.8</v>
      </c>
      <c r="I19" s="22">
        <f>E19*2.5/100</f>
        <v>3.75</v>
      </c>
      <c r="J19" s="33">
        <f>F19*2.5/100</f>
        <v>4.5</v>
      </c>
      <c r="K19" s="22">
        <f>E19*19.85/100</f>
        <v>29.774999999999999</v>
      </c>
      <c r="L19" s="33">
        <f>F19*19.85/100</f>
        <v>35.730000000000004</v>
      </c>
      <c r="M19" s="22">
        <f t="shared" si="8"/>
        <v>218.85</v>
      </c>
      <c r="N19" s="35">
        <f t="shared" si="8"/>
        <v>262.62</v>
      </c>
      <c r="O19" s="1"/>
      <c r="P19" s="3"/>
      <c r="Q19" s="5"/>
      <c r="R19" s="5"/>
      <c r="S19" s="5"/>
      <c r="T19" s="5"/>
      <c r="U19" s="1"/>
      <c r="V19" s="3"/>
      <c r="W19" s="5"/>
      <c r="X19" s="5"/>
      <c r="Y19" s="5"/>
      <c r="Z19" s="5"/>
    </row>
    <row r="20" spans="2:26" s="16" customFormat="1" x14ac:dyDescent="0.25">
      <c r="B20" s="246"/>
      <c r="C20" s="79" t="s">
        <v>89</v>
      </c>
      <c r="D20" s="50" t="s">
        <v>90</v>
      </c>
      <c r="E20" s="84">
        <v>90</v>
      </c>
      <c r="F20" s="31">
        <v>100</v>
      </c>
      <c r="G20" s="22">
        <f>E20*15.9/100</f>
        <v>14.31</v>
      </c>
      <c r="H20" s="33">
        <f>F20*15.9/100</f>
        <v>15.9</v>
      </c>
      <c r="I20" s="22">
        <f>E20*14.4/100</f>
        <v>12.96</v>
      </c>
      <c r="J20" s="33">
        <f>F20*14.4/100</f>
        <v>14.4</v>
      </c>
      <c r="K20" s="22">
        <f>E20*16/100</f>
        <v>14.4</v>
      </c>
      <c r="L20" s="33">
        <f>F20*16/100</f>
        <v>16</v>
      </c>
      <c r="M20" s="22">
        <f t="shared" si="8"/>
        <v>231.48000000000002</v>
      </c>
      <c r="N20" s="35">
        <f t="shared" si="8"/>
        <v>257.2</v>
      </c>
      <c r="O20" s="1"/>
      <c r="P20" s="3"/>
      <c r="Q20" s="5"/>
      <c r="R20" s="5"/>
      <c r="S20" s="5"/>
      <c r="T20" s="5"/>
      <c r="U20" s="1"/>
      <c r="V20" s="3"/>
      <c r="W20" s="5"/>
      <c r="X20" s="5"/>
      <c r="Y20" s="5"/>
      <c r="Z20" s="5"/>
    </row>
    <row r="21" spans="2:26" x14ac:dyDescent="0.25">
      <c r="B21" s="246"/>
      <c r="C21" s="20" t="s">
        <v>46</v>
      </c>
      <c r="D21" s="9" t="s">
        <v>47</v>
      </c>
      <c r="E21" s="84">
        <v>200</v>
      </c>
      <c r="F21" s="31">
        <v>200</v>
      </c>
      <c r="G21" s="22">
        <f>E21*0.6/200</f>
        <v>0.6</v>
      </c>
      <c r="H21" s="33">
        <f>F21*0.6/200</f>
        <v>0.6</v>
      </c>
      <c r="I21" s="22">
        <f t="shared" ref="I21:J21" si="9">E21*0.1/200</f>
        <v>0.1</v>
      </c>
      <c r="J21" s="33">
        <f t="shared" si="9"/>
        <v>0.1</v>
      </c>
      <c r="K21" s="22">
        <f>E21*20.1/200</f>
        <v>20.100000000000001</v>
      </c>
      <c r="L21" s="33">
        <f>F21*20.1/200</f>
        <v>20.100000000000001</v>
      </c>
      <c r="M21" s="22">
        <f t="shared" ref="M21:N23" si="10">G21*4+I21*9+K21*4</f>
        <v>83.7</v>
      </c>
      <c r="N21" s="35">
        <f t="shared" si="10"/>
        <v>83.7</v>
      </c>
      <c r="O21" s="1"/>
      <c r="P21" s="3"/>
      <c r="Q21" s="5"/>
      <c r="R21" s="5"/>
      <c r="S21" s="5"/>
      <c r="T21" s="5"/>
      <c r="U21" s="1"/>
      <c r="V21" s="3"/>
      <c r="W21" s="5"/>
      <c r="X21" s="5"/>
      <c r="Y21" s="5"/>
      <c r="Z21" s="5"/>
    </row>
    <row r="22" spans="2:26" x14ac:dyDescent="0.25">
      <c r="B22" s="246"/>
      <c r="C22" s="21" t="s">
        <v>79</v>
      </c>
      <c r="D22" s="6" t="s">
        <v>23</v>
      </c>
      <c r="E22" s="62">
        <v>20</v>
      </c>
      <c r="F22" s="63">
        <v>20</v>
      </c>
      <c r="G22" s="22">
        <f>E22*8/100</f>
        <v>1.6</v>
      </c>
      <c r="H22" s="33">
        <f>F22*8/100</f>
        <v>1.6</v>
      </c>
      <c r="I22" s="22">
        <f>E22*1.5/100</f>
        <v>0.3</v>
      </c>
      <c r="J22" s="33">
        <f>F22*1.5/100</f>
        <v>0.3</v>
      </c>
      <c r="K22" s="22">
        <f>E22*40.1/100</f>
        <v>8.02</v>
      </c>
      <c r="L22" s="33">
        <f>F22*40.1/100</f>
        <v>8.02</v>
      </c>
      <c r="M22" s="22">
        <f t="shared" si="10"/>
        <v>41.18</v>
      </c>
      <c r="N22" s="35">
        <f t="shared" si="10"/>
        <v>41.18</v>
      </c>
      <c r="O22" s="1"/>
      <c r="P22" s="3"/>
      <c r="Q22" s="5"/>
      <c r="R22" s="5"/>
      <c r="S22" s="5"/>
      <c r="T22" s="5"/>
      <c r="U22" s="1"/>
      <c r="V22" s="3"/>
      <c r="W22" s="5"/>
      <c r="X22" s="5"/>
      <c r="Y22" s="5"/>
      <c r="Z22" s="5"/>
    </row>
    <row r="23" spans="2:26" x14ac:dyDescent="0.25">
      <c r="B23" s="246"/>
      <c r="C23" s="21" t="s">
        <v>80</v>
      </c>
      <c r="D23" s="6" t="s">
        <v>81</v>
      </c>
      <c r="E23" s="62">
        <v>40</v>
      </c>
      <c r="F23" s="63">
        <v>40</v>
      </c>
      <c r="G23" s="22">
        <f>E23*7.6/100</f>
        <v>3.04</v>
      </c>
      <c r="H23" s="33">
        <f>F23*7.6/100</f>
        <v>3.04</v>
      </c>
      <c r="I23" s="22">
        <f>E23*0.8/100</f>
        <v>0.32</v>
      </c>
      <c r="J23" s="33">
        <f>F23*0.8/100</f>
        <v>0.32</v>
      </c>
      <c r="K23" s="22">
        <f>E23*49.2/100</f>
        <v>19.68</v>
      </c>
      <c r="L23" s="33">
        <f>F23*49.2/100</f>
        <v>19.68</v>
      </c>
      <c r="M23" s="22">
        <f t="shared" si="10"/>
        <v>93.759999999999991</v>
      </c>
      <c r="N23" s="35">
        <f t="shared" si="10"/>
        <v>93.759999999999991</v>
      </c>
      <c r="O23" s="1"/>
      <c r="P23" s="3"/>
      <c r="Q23" s="5"/>
      <c r="R23" s="5"/>
      <c r="S23" s="5"/>
      <c r="T23" s="5"/>
      <c r="U23" s="1"/>
      <c r="V23" s="3"/>
      <c r="W23" s="5"/>
      <c r="X23" s="5"/>
      <c r="Y23" s="5"/>
      <c r="Z23" s="5"/>
    </row>
    <row r="24" spans="2:26" x14ac:dyDescent="0.25">
      <c r="B24" s="246"/>
      <c r="C24" s="21"/>
      <c r="D24" s="4" t="s">
        <v>14</v>
      </c>
      <c r="E24" s="24">
        <f t="shared" ref="E24:N24" si="11">SUM(E17:E23)</f>
        <v>760</v>
      </c>
      <c r="F24" s="38">
        <f t="shared" si="11"/>
        <v>890</v>
      </c>
      <c r="G24" s="7">
        <f>SUM(G17:G23)</f>
        <v>38.970000000000006</v>
      </c>
      <c r="H24" s="34">
        <f t="shared" si="11"/>
        <v>44.84</v>
      </c>
      <c r="I24" s="155">
        <f t="shared" si="11"/>
        <v>23.090000000000003</v>
      </c>
      <c r="J24" s="34">
        <f t="shared" si="11"/>
        <v>28.220000000000002</v>
      </c>
      <c r="K24" s="7">
        <f>SUM(K17:K23)</f>
        <v>110.875</v>
      </c>
      <c r="L24" s="34">
        <f t="shared" si="11"/>
        <v>124.03</v>
      </c>
      <c r="M24" s="7">
        <f>SUM(M17:M23)</f>
        <v>807.18999999999994</v>
      </c>
      <c r="N24" s="36">
        <f t="shared" si="11"/>
        <v>929.45999999999992</v>
      </c>
      <c r="O24" s="1"/>
      <c r="P24" s="3"/>
      <c r="Q24" s="5"/>
      <c r="R24" s="5"/>
      <c r="S24" s="5"/>
      <c r="T24" s="5"/>
      <c r="U24" s="1"/>
      <c r="V24" s="3"/>
      <c r="W24" s="5"/>
      <c r="X24" s="5"/>
      <c r="Y24" s="5"/>
      <c r="Z24" s="5"/>
    </row>
    <row r="25" spans="2:26" ht="15.75" thickBot="1" x14ac:dyDescent="0.3">
      <c r="B25" s="246"/>
      <c r="C25" s="65"/>
      <c r="D25" s="66" t="s">
        <v>12</v>
      </c>
      <c r="E25" s="70"/>
      <c r="F25" s="71"/>
      <c r="G25" s="67">
        <f>G15+G24</f>
        <v>54.895000000000003</v>
      </c>
      <c r="H25" s="68">
        <f t="shared" ref="H25:N25" si="12">H15+H24</f>
        <v>62.015000000000001</v>
      </c>
      <c r="I25" s="67">
        <f t="shared" si="12"/>
        <v>43.760000000000005</v>
      </c>
      <c r="J25" s="68">
        <f t="shared" si="12"/>
        <v>50.490000000000009</v>
      </c>
      <c r="K25" s="67">
        <f t="shared" si="12"/>
        <v>182.89749999999998</v>
      </c>
      <c r="L25" s="68">
        <f t="shared" si="12"/>
        <v>202.79750000000001</v>
      </c>
      <c r="M25" s="67">
        <f>M15+M24</f>
        <v>1345.01</v>
      </c>
      <c r="N25" s="69">
        <f t="shared" si="12"/>
        <v>1513.6599999999999</v>
      </c>
      <c r="O25" s="1"/>
      <c r="P25" s="3"/>
      <c r="Q25" s="5"/>
      <c r="R25" s="5"/>
      <c r="S25" s="5"/>
      <c r="T25" s="5"/>
      <c r="U25" s="1"/>
      <c r="V25" s="3"/>
      <c r="W25" s="5"/>
      <c r="X25" s="5"/>
      <c r="Y25" s="5"/>
      <c r="Z25" s="5"/>
    </row>
    <row r="26" spans="2:26" x14ac:dyDescent="0.25">
      <c r="B26" s="275" t="s">
        <v>177</v>
      </c>
      <c r="C26" s="242" t="s">
        <v>8</v>
      </c>
      <c r="D26" s="243"/>
      <c r="E26" s="243"/>
      <c r="F26" s="243"/>
      <c r="G26" s="243"/>
      <c r="H26" s="243"/>
      <c r="I26" s="243"/>
      <c r="J26" s="243"/>
      <c r="K26" s="243"/>
      <c r="L26" s="243"/>
      <c r="M26" s="243"/>
      <c r="N26" s="244"/>
    </row>
    <row r="27" spans="2:26" x14ac:dyDescent="0.25">
      <c r="B27" s="276"/>
      <c r="C27" s="64" t="s">
        <v>55</v>
      </c>
      <c r="D27" s="50" t="s">
        <v>17</v>
      </c>
      <c r="E27" s="60">
        <v>150</v>
      </c>
      <c r="F27" s="31">
        <v>200</v>
      </c>
      <c r="G27" s="22">
        <f>E27*2.5/100</f>
        <v>3.75</v>
      </c>
      <c r="H27" s="33">
        <f>F27*2.5/100</f>
        <v>5</v>
      </c>
      <c r="I27" s="22">
        <f>E27*3.18/100</f>
        <v>4.7699999999999996</v>
      </c>
      <c r="J27" s="33">
        <f>F27*3.18/100</f>
        <v>6.36</v>
      </c>
      <c r="K27" s="22">
        <f>E27*15.7/100</f>
        <v>23.55</v>
      </c>
      <c r="L27" s="33">
        <f>F27*15.7/100</f>
        <v>31.4</v>
      </c>
      <c r="M27" s="22">
        <f>G27*4+I27*9+K27*4</f>
        <v>152.13</v>
      </c>
      <c r="N27" s="35">
        <f>H27*4+J27*9+L27*4</f>
        <v>202.84</v>
      </c>
    </row>
    <row r="28" spans="2:26" s="16" customFormat="1" x14ac:dyDescent="0.25">
      <c r="B28" s="276"/>
      <c r="C28" s="96" t="s">
        <v>116</v>
      </c>
      <c r="D28" s="97" t="s">
        <v>117</v>
      </c>
      <c r="E28" s="84">
        <v>15</v>
      </c>
      <c r="F28" s="95">
        <v>20</v>
      </c>
      <c r="G28" s="22">
        <f>E28*0.8/100</f>
        <v>0.12</v>
      </c>
      <c r="H28" s="33">
        <f>F28*0.8/100</f>
        <v>0.16</v>
      </c>
      <c r="I28" s="22">
        <f>E28*72.5/100</f>
        <v>10.875</v>
      </c>
      <c r="J28" s="33">
        <f>F28*72.5/100</f>
        <v>14.5</v>
      </c>
      <c r="K28" s="22">
        <f>E28*1.3/100</f>
        <v>0.19500000000000001</v>
      </c>
      <c r="L28" s="33">
        <f>F28*1.3/100</f>
        <v>0.26</v>
      </c>
      <c r="M28" s="22">
        <f t="shared" ref="M28:N31" si="13">G28*4+I28*9+K28*4</f>
        <v>99.135000000000005</v>
      </c>
      <c r="N28" s="35">
        <f t="shared" si="13"/>
        <v>132.17999999999998</v>
      </c>
    </row>
    <row r="29" spans="2:26" s="16" customFormat="1" x14ac:dyDescent="0.25">
      <c r="B29" s="276"/>
      <c r="C29" s="20" t="s">
        <v>73</v>
      </c>
      <c r="D29" s="9" t="s">
        <v>74</v>
      </c>
      <c r="E29" s="177">
        <v>200</v>
      </c>
      <c r="F29" s="31">
        <v>200</v>
      </c>
      <c r="G29" s="22">
        <f>E29*1.4/200</f>
        <v>1.4</v>
      </c>
      <c r="H29" s="33">
        <f>F29*1.4/200</f>
        <v>1.4</v>
      </c>
      <c r="I29" s="22">
        <f>E29*1.2/200</f>
        <v>1.2</v>
      </c>
      <c r="J29" s="33">
        <f>F29*1.2/200</f>
        <v>1.2</v>
      </c>
      <c r="K29" s="22">
        <f>E29*11.4/200</f>
        <v>11.4</v>
      </c>
      <c r="L29" s="33">
        <f>F29*11.4/200</f>
        <v>11.4</v>
      </c>
      <c r="M29" s="22">
        <f t="shared" si="13"/>
        <v>62</v>
      </c>
      <c r="N29" s="35">
        <f t="shared" si="13"/>
        <v>62</v>
      </c>
    </row>
    <row r="30" spans="2:26" s="16" customFormat="1" x14ac:dyDescent="0.25">
      <c r="B30" s="276"/>
      <c r="C30" s="21" t="s">
        <v>238</v>
      </c>
      <c r="D30" s="6" t="s">
        <v>239</v>
      </c>
      <c r="E30" s="137">
        <v>50</v>
      </c>
      <c r="F30" s="31">
        <v>50</v>
      </c>
      <c r="G30" s="22">
        <f>12.01/100*E30</f>
        <v>6.0049999999999999</v>
      </c>
      <c r="H30" s="33">
        <f>12.01/100*F30</f>
        <v>6.0049999999999999</v>
      </c>
      <c r="I30" s="137">
        <f>17.25/100*E30</f>
        <v>8.625</v>
      </c>
      <c r="J30" s="33">
        <f>17.25/100*F30</f>
        <v>8.625</v>
      </c>
      <c r="K30" s="22">
        <f>19/100*E30</f>
        <v>9.5</v>
      </c>
      <c r="L30" s="33">
        <f>19/100*F30</f>
        <v>9.5</v>
      </c>
      <c r="M30" s="22">
        <f t="shared" si="13"/>
        <v>139.64499999999998</v>
      </c>
      <c r="N30" s="35">
        <f t="shared" si="13"/>
        <v>139.64499999999998</v>
      </c>
    </row>
    <row r="31" spans="2:26" s="16" customFormat="1" x14ac:dyDescent="0.25">
      <c r="B31" s="276"/>
      <c r="C31" s="21" t="s">
        <v>79</v>
      </c>
      <c r="D31" s="6" t="s">
        <v>23</v>
      </c>
      <c r="E31" s="62">
        <v>30</v>
      </c>
      <c r="F31" s="63">
        <v>30</v>
      </c>
      <c r="G31" s="22">
        <f>E31*8/100</f>
        <v>2.4</v>
      </c>
      <c r="H31" s="33">
        <f>F31*8/100</f>
        <v>2.4</v>
      </c>
      <c r="I31" s="22">
        <f>E31*1.5/100</f>
        <v>0.45</v>
      </c>
      <c r="J31" s="33">
        <f>F31*1.5/100</f>
        <v>0.45</v>
      </c>
      <c r="K31" s="22">
        <f>E31*40.1/100</f>
        <v>12.03</v>
      </c>
      <c r="L31" s="33">
        <f>F31*40.1/100</f>
        <v>12.03</v>
      </c>
      <c r="M31" s="22">
        <f t="shared" si="13"/>
        <v>61.769999999999996</v>
      </c>
      <c r="N31" s="35">
        <f t="shared" si="13"/>
        <v>61.769999999999996</v>
      </c>
    </row>
    <row r="32" spans="2:26" s="135" customFormat="1" x14ac:dyDescent="0.25">
      <c r="B32" s="276"/>
      <c r="C32" s="20" t="s">
        <v>122</v>
      </c>
      <c r="D32" s="9" t="s">
        <v>223</v>
      </c>
      <c r="E32" s="176">
        <v>150</v>
      </c>
      <c r="F32" s="43">
        <v>150</v>
      </c>
      <c r="G32" s="23">
        <f>1.5/100*E32</f>
        <v>2.25</v>
      </c>
      <c r="H32" s="44">
        <f>1.5/100*F32</f>
        <v>2.25</v>
      </c>
      <c r="I32" s="23">
        <f>0.5/100*E32</f>
        <v>0.75</v>
      </c>
      <c r="J32" s="44">
        <f>0.5/100*F32</f>
        <v>0.75</v>
      </c>
      <c r="K32" s="23">
        <f>21/100*E32</f>
        <v>31.5</v>
      </c>
      <c r="L32" s="44">
        <f>21/100*F32</f>
        <v>31.5</v>
      </c>
      <c r="M32" s="23">
        <f>G32*4+I32*9+K32*4</f>
        <v>141.75</v>
      </c>
      <c r="N32" s="41">
        <f>H32*4+J32*9+L32*4</f>
        <v>141.75</v>
      </c>
    </row>
    <row r="33" spans="2:14" x14ac:dyDescent="0.25">
      <c r="B33" s="276"/>
      <c r="C33" s="72"/>
      <c r="D33" s="73" t="s">
        <v>13</v>
      </c>
      <c r="E33" s="74">
        <f t="shared" ref="E33:N33" si="14">SUM(E27:E32)</f>
        <v>595</v>
      </c>
      <c r="F33" s="75">
        <f t="shared" si="14"/>
        <v>650</v>
      </c>
      <c r="G33" s="156">
        <f t="shared" si="14"/>
        <v>15.924999999999999</v>
      </c>
      <c r="H33" s="77">
        <f t="shared" si="14"/>
        <v>17.215000000000003</v>
      </c>
      <c r="I33" s="76">
        <f t="shared" si="14"/>
        <v>26.669999999999998</v>
      </c>
      <c r="J33" s="77">
        <f t="shared" si="14"/>
        <v>31.884999999999998</v>
      </c>
      <c r="K33" s="76">
        <f t="shared" si="14"/>
        <v>88.175000000000011</v>
      </c>
      <c r="L33" s="77">
        <f t="shared" si="14"/>
        <v>96.09</v>
      </c>
      <c r="M33" s="76">
        <f t="shared" si="14"/>
        <v>656.43</v>
      </c>
      <c r="N33" s="77">
        <f t="shared" si="14"/>
        <v>740.18499999999995</v>
      </c>
    </row>
    <row r="34" spans="2:14" x14ac:dyDescent="0.25">
      <c r="B34" s="276"/>
      <c r="C34" s="235" t="s">
        <v>9</v>
      </c>
      <c r="D34" s="236"/>
      <c r="E34" s="236"/>
      <c r="F34" s="236"/>
      <c r="G34" s="236"/>
      <c r="H34" s="236"/>
      <c r="I34" s="236"/>
      <c r="J34" s="236"/>
      <c r="K34" s="236"/>
      <c r="L34" s="236"/>
      <c r="M34" s="236"/>
      <c r="N34" s="237"/>
    </row>
    <row r="35" spans="2:14" s="16" customFormat="1" x14ac:dyDescent="0.25">
      <c r="B35" s="276"/>
      <c r="C35" s="21" t="s">
        <v>146</v>
      </c>
      <c r="D35" s="6" t="s">
        <v>147</v>
      </c>
      <c r="E35" s="84">
        <v>60</v>
      </c>
      <c r="F35" s="31">
        <v>100</v>
      </c>
      <c r="G35" s="22">
        <f>E35*2.08/100</f>
        <v>1.2480000000000002</v>
      </c>
      <c r="H35" s="33">
        <f>F35*2.08/100</f>
        <v>2.08</v>
      </c>
      <c r="I35" s="84">
        <f>E35*5.12/100</f>
        <v>3.0720000000000001</v>
      </c>
      <c r="J35" s="33">
        <f>F35*5.12/100</f>
        <v>5.12</v>
      </c>
      <c r="K35" s="22">
        <f>E35*5.69/100</f>
        <v>3.4140000000000001</v>
      </c>
      <c r="L35" s="33">
        <f>F35*5.69/100</f>
        <v>5.69</v>
      </c>
      <c r="M35" s="22">
        <f t="shared" ref="M35:N38" si="15">G35*4+I35*9+K35*4</f>
        <v>46.295999999999999</v>
      </c>
      <c r="N35" s="35">
        <f t="shared" si="15"/>
        <v>77.16</v>
      </c>
    </row>
    <row r="36" spans="2:14" s="16" customFormat="1" x14ac:dyDescent="0.25">
      <c r="B36" s="276"/>
      <c r="C36" s="20" t="s">
        <v>22</v>
      </c>
      <c r="D36" s="9" t="s">
        <v>66</v>
      </c>
      <c r="E36" s="166">
        <v>200</v>
      </c>
      <c r="F36" s="43">
        <v>250</v>
      </c>
      <c r="G36" s="22">
        <f>E36*0.8/100</f>
        <v>1.6</v>
      </c>
      <c r="H36" s="33">
        <f>F36*0.8/100</f>
        <v>2</v>
      </c>
      <c r="I36" s="22">
        <f>E36*2.08/100</f>
        <v>4.16</v>
      </c>
      <c r="J36" s="33">
        <f>F36*2.08/100</f>
        <v>5.2</v>
      </c>
      <c r="K36" s="22">
        <f>E36*5.24/100</f>
        <v>10.48</v>
      </c>
      <c r="L36" s="33">
        <f>F36*5.24/100</f>
        <v>13.1</v>
      </c>
      <c r="M36" s="22">
        <f>G36*4+I36*9+K36*4</f>
        <v>85.759999999999991</v>
      </c>
      <c r="N36" s="35">
        <f>H36*4+J36*9+L36*4</f>
        <v>107.2</v>
      </c>
    </row>
    <row r="37" spans="2:14" x14ac:dyDescent="0.25">
      <c r="B37" s="276"/>
      <c r="C37" s="20" t="s">
        <v>20</v>
      </c>
      <c r="D37" s="9" t="s">
        <v>21</v>
      </c>
      <c r="E37" s="84">
        <v>150</v>
      </c>
      <c r="F37" s="31">
        <v>180</v>
      </c>
      <c r="G37" s="22">
        <f>E37*2.1/100</f>
        <v>3.15</v>
      </c>
      <c r="H37" s="33">
        <f>F37*2.1/100</f>
        <v>3.78</v>
      </c>
      <c r="I37" s="22">
        <f>E37*3.5/100</f>
        <v>5.25</v>
      </c>
      <c r="J37" s="33">
        <f>F37*3.5/100</f>
        <v>6.3</v>
      </c>
      <c r="K37" s="22">
        <f>E37*14.6/100</f>
        <v>21.9</v>
      </c>
      <c r="L37" s="33">
        <f>F37*14.6/100</f>
        <v>26.28</v>
      </c>
      <c r="M37" s="22">
        <f t="shared" si="15"/>
        <v>147.44999999999999</v>
      </c>
      <c r="N37" s="35">
        <f t="shared" si="15"/>
        <v>176.94</v>
      </c>
    </row>
    <row r="38" spans="2:14" s="16" customFormat="1" x14ac:dyDescent="0.25">
      <c r="B38" s="276"/>
      <c r="C38" s="20" t="s">
        <v>150</v>
      </c>
      <c r="D38" s="9" t="s">
        <v>151</v>
      </c>
      <c r="E38" s="84">
        <v>90</v>
      </c>
      <c r="F38" s="31">
        <v>100</v>
      </c>
      <c r="G38" s="22">
        <f>E38*24.8/100</f>
        <v>22.32</v>
      </c>
      <c r="H38" s="33">
        <f>F38*24.8/100</f>
        <v>24.8</v>
      </c>
      <c r="I38" s="22">
        <f>E38*16.6/100</f>
        <v>14.940000000000003</v>
      </c>
      <c r="J38" s="33">
        <f>F38*16.6/100</f>
        <v>16.600000000000001</v>
      </c>
      <c r="K38" s="22">
        <f>E38*6.1/100</f>
        <v>5.49</v>
      </c>
      <c r="L38" s="33">
        <f>F38*6.1/100</f>
        <v>6.1</v>
      </c>
      <c r="M38" s="22">
        <f t="shared" si="15"/>
        <v>245.70000000000005</v>
      </c>
      <c r="N38" s="35">
        <f t="shared" si="15"/>
        <v>273</v>
      </c>
    </row>
    <row r="39" spans="2:14" x14ac:dyDescent="0.25">
      <c r="B39" s="276"/>
      <c r="C39" s="21" t="s">
        <v>84</v>
      </c>
      <c r="D39" s="6" t="s">
        <v>85</v>
      </c>
      <c r="E39" s="84">
        <v>200</v>
      </c>
      <c r="F39" s="31">
        <v>200</v>
      </c>
      <c r="G39" s="22">
        <f>E39*0.15/100</f>
        <v>0.3</v>
      </c>
      <c r="H39" s="33">
        <f>F39*0.15/100</f>
        <v>0.3</v>
      </c>
      <c r="I39" s="22">
        <f>E39*0.005/100</f>
        <v>0.01</v>
      </c>
      <c r="J39" s="33">
        <f>F39*0.005/100</f>
        <v>0.01</v>
      </c>
      <c r="K39" s="22">
        <f>E39*8.75/100</f>
        <v>17.5</v>
      </c>
      <c r="L39" s="33">
        <f>F39*8.75/100</f>
        <v>17.5</v>
      </c>
      <c r="M39" s="22">
        <f t="shared" ref="M39:N39" si="16">G39*4+I39*9+K39*4</f>
        <v>71.290000000000006</v>
      </c>
      <c r="N39" s="35">
        <f t="shared" si="16"/>
        <v>71.290000000000006</v>
      </c>
    </row>
    <row r="40" spans="2:14" x14ac:dyDescent="0.25">
      <c r="B40" s="276"/>
      <c r="C40" s="21" t="s">
        <v>79</v>
      </c>
      <c r="D40" s="6" t="s">
        <v>23</v>
      </c>
      <c r="E40" s="62">
        <v>30</v>
      </c>
      <c r="F40" s="63">
        <v>30</v>
      </c>
      <c r="G40" s="22">
        <f>E40*8/100</f>
        <v>2.4</v>
      </c>
      <c r="H40" s="33">
        <f>F40*8/100</f>
        <v>2.4</v>
      </c>
      <c r="I40" s="22">
        <f>E40*1.5/100</f>
        <v>0.45</v>
      </c>
      <c r="J40" s="33">
        <f>F40*1.5/100</f>
        <v>0.45</v>
      </c>
      <c r="K40" s="22">
        <f>E40*40.1/100</f>
        <v>12.03</v>
      </c>
      <c r="L40" s="33">
        <f>F40*40.1/100</f>
        <v>12.03</v>
      </c>
      <c r="M40" s="22">
        <f t="shared" ref="M40:N41" si="17">G40*4+I40*9+K40*4</f>
        <v>61.769999999999996</v>
      </c>
      <c r="N40" s="35">
        <f t="shared" si="17"/>
        <v>61.769999999999996</v>
      </c>
    </row>
    <row r="41" spans="2:14" x14ac:dyDescent="0.25">
      <c r="B41" s="276"/>
      <c r="C41" s="21" t="s">
        <v>80</v>
      </c>
      <c r="D41" s="6" t="s">
        <v>81</v>
      </c>
      <c r="E41" s="62">
        <v>50</v>
      </c>
      <c r="F41" s="63">
        <v>50</v>
      </c>
      <c r="G41" s="22">
        <f>E41*7.6/100</f>
        <v>3.8</v>
      </c>
      <c r="H41" s="33">
        <f>F41*7.6/100</f>
        <v>3.8</v>
      </c>
      <c r="I41" s="22">
        <f>E41*0.8/100</f>
        <v>0.4</v>
      </c>
      <c r="J41" s="33">
        <f>F41*0.8/100</f>
        <v>0.4</v>
      </c>
      <c r="K41" s="22">
        <f>E41*49.2/100</f>
        <v>24.6</v>
      </c>
      <c r="L41" s="33">
        <f>F41*49.2/100</f>
        <v>24.6</v>
      </c>
      <c r="M41" s="22">
        <f t="shared" si="17"/>
        <v>117.2</v>
      </c>
      <c r="N41" s="35">
        <f t="shared" si="17"/>
        <v>117.2</v>
      </c>
    </row>
    <row r="42" spans="2:14" x14ac:dyDescent="0.25">
      <c r="B42" s="276"/>
      <c r="C42" s="21"/>
      <c r="D42" s="4" t="s">
        <v>14</v>
      </c>
      <c r="E42" s="24">
        <f t="shared" ref="E42:N42" si="18">SUM(E35:E41)</f>
        <v>780</v>
      </c>
      <c r="F42" s="38">
        <f t="shared" si="18"/>
        <v>910</v>
      </c>
      <c r="G42" s="7">
        <f>SUM(G35:G41)</f>
        <v>34.817999999999998</v>
      </c>
      <c r="H42" s="34">
        <f t="shared" si="18"/>
        <v>39.159999999999989</v>
      </c>
      <c r="I42" s="7">
        <f t="shared" si="18"/>
        <v>28.282000000000004</v>
      </c>
      <c r="J42" s="34">
        <f t="shared" si="18"/>
        <v>34.08</v>
      </c>
      <c r="K42" s="154">
        <f>SUM(K35:K41)</f>
        <v>95.413999999999987</v>
      </c>
      <c r="L42" s="34">
        <f t="shared" si="18"/>
        <v>105.30000000000001</v>
      </c>
      <c r="M42" s="7">
        <f>SUM(M35:M41)</f>
        <v>775.46600000000001</v>
      </c>
      <c r="N42" s="36">
        <f t="shared" si="18"/>
        <v>884.56</v>
      </c>
    </row>
    <row r="43" spans="2:14" ht="15.75" thickBot="1" x14ac:dyDescent="0.3">
      <c r="B43" s="276"/>
      <c r="C43" s="65"/>
      <c r="D43" s="66" t="s">
        <v>12</v>
      </c>
      <c r="E43" s="70"/>
      <c r="F43" s="71"/>
      <c r="G43" s="67">
        <f>G33+G42</f>
        <v>50.742999999999995</v>
      </c>
      <c r="H43" s="68">
        <f t="shared" ref="H43:N43" si="19">H33+H42</f>
        <v>56.374999999999993</v>
      </c>
      <c r="I43" s="67">
        <f t="shared" si="19"/>
        <v>54.951999999999998</v>
      </c>
      <c r="J43" s="68">
        <f t="shared" si="19"/>
        <v>65.965000000000003</v>
      </c>
      <c r="K43" s="180">
        <f t="shared" si="19"/>
        <v>183.589</v>
      </c>
      <c r="L43" s="68">
        <f t="shared" si="19"/>
        <v>201.39000000000001</v>
      </c>
      <c r="M43" s="67">
        <f>M33+M42</f>
        <v>1431.896</v>
      </c>
      <c r="N43" s="69">
        <f t="shared" si="19"/>
        <v>1624.7449999999999</v>
      </c>
    </row>
    <row r="44" spans="2:14" x14ac:dyDescent="0.25">
      <c r="B44" s="247" t="s">
        <v>178</v>
      </c>
      <c r="C44" s="242" t="s">
        <v>8</v>
      </c>
      <c r="D44" s="243"/>
      <c r="E44" s="243"/>
      <c r="F44" s="243"/>
      <c r="G44" s="243"/>
      <c r="H44" s="243"/>
      <c r="I44" s="243"/>
      <c r="J44" s="243"/>
      <c r="K44" s="243"/>
      <c r="L44" s="243"/>
      <c r="M44" s="243"/>
      <c r="N44" s="244"/>
    </row>
    <row r="45" spans="2:14" ht="16.5" customHeight="1" x14ac:dyDescent="0.25">
      <c r="B45" s="248"/>
      <c r="C45" s="20" t="s">
        <v>120</v>
      </c>
      <c r="D45" s="8" t="s">
        <v>121</v>
      </c>
      <c r="E45" s="162">
        <v>150</v>
      </c>
      <c r="F45" s="30">
        <v>180</v>
      </c>
      <c r="G45" s="22">
        <f>E45*13/100</f>
        <v>19.5</v>
      </c>
      <c r="H45" s="33">
        <f>F45*13/100</f>
        <v>23.4</v>
      </c>
      <c r="I45" s="22">
        <f>E45*5/100</f>
        <v>7.5</v>
      </c>
      <c r="J45" s="33">
        <f>F45*5/100</f>
        <v>9</v>
      </c>
      <c r="K45" s="22">
        <f>E45*13/100</f>
        <v>19.5</v>
      </c>
      <c r="L45" s="33">
        <f>F45*13/100</f>
        <v>23.4</v>
      </c>
      <c r="M45" s="22">
        <f t="shared" ref="M45:N50" si="20">G45*4+I45*9+K45*4</f>
        <v>223.5</v>
      </c>
      <c r="N45" s="35">
        <f t="shared" si="20"/>
        <v>268.2</v>
      </c>
    </row>
    <row r="46" spans="2:14" s="16" customFormat="1" ht="15" customHeight="1" x14ac:dyDescent="0.25">
      <c r="B46" s="248"/>
      <c r="C46" s="21" t="s">
        <v>122</v>
      </c>
      <c r="D46" s="97" t="s">
        <v>123</v>
      </c>
      <c r="E46" s="162">
        <v>15</v>
      </c>
      <c r="F46" s="95">
        <v>20</v>
      </c>
      <c r="G46" s="98">
        <f>E46*0/10</f>
        <v>0</v>
      </c>
      <c r="H46" s="99">
        <f>F46*0/10</f>
        <v>0</v>
      </c>
      <c r="I46" s="98">
        <f>E46*0/10</f>
        <v>0</v>
      </c>
      <c r="J46" s="99">
        <f>F46*0/10</f>
        <v>0</v>
      </c>
      <c r="K46" s="22">
        <f>E46*61/100</f>
        <v>9.15</v>
      </c>
      <c r="L46" s="33">
        <f>F46*61/100</f>
        <v>12.2</v>
      </c>
      <c r="M46" s="22">
        <f t="shared" si="20"/>
        <v>36.6</v>
      </c>
      <c r="N46" s="35">
        <f t="shared" si="20"/>
        <v>48.8</v>
      </c>
    </row>
    <row r="47" spans="2:14" s="16" customFormat="1" ht="14.25" customHeight="1" x14ac:dyDescent="0.25">
      <c r="B47" s="248"/>
      <c r="C47" s="20" t="s">
        <v>45</v>
      </c>
      <c r="D47" s="9" t="s">
        <v>16</v>
      </c>
      <c r="E47" s="177">
        <v>200</v>
      </c>
      <c r="F47" s="31">
        <v>200</v>
      </c>
      <c r="G47" s="22">
        <f>E47*0.2/200</f>
        <v>0.2</v>
      </c>
      <c r="H47" s="33">
        <f>F47*0.2/200</f>
        <v>0.2</v>
      </c>
      <c r="I47" s="22">
        <f t="shared" ref="I47" si="21">E47*0.1/200</f>
        <v>0.1</v>
      </c>
      <c r="J47" s="33">
        <f t="shared" ref="J47" si="22">F47*0.1/200</f>
        <v>0.1</v>
      </c>
      <c r="K47" s="22">
        <f>E47*9.3/200</f>
        <v>9.3000000000000007</v>
      </c>
      <c r="L47" s="33">
        <f>F47*9.3/200</f>
        <v>9.3000000000000007</v>
      </c>
      <c r="M47" s="22">
        <f>G47*4+I47*9+K47*4</f>
        <v>38.900000000000006</v>
      </c>
      <c r="N47" s="35">
        <f>H47*4+J47*9+L47*4</f>
        <v>38.900000000000006</v>
      </c>
    </row>
    <row r="48" spans="2:14" x14ac:dyDescent="0.25">
      <c r="B48" s="248"/>
      <c r="C48" s="21" t="s">
        <v>80</v>
      </c>
      <c r="D48" s="6" t="s">
        <v>81</v>
      </c>
      <c r="E48" s="62">
        <v>20</v>
      </c>
      <c r="F48" s="63">
        <v>20</v>
      </c>
      <c r="G48" s="22">
        <f>E48*7.6/100</f>
        <v>1.52</v>
      </c>
      <c r="H48" s="33">
        <f>F48*7.6/100</f>
        <v>1.52</v>
      </c>
      <c r="I48" s="22">
        <f>E48*0.8/100</f>
        <v>0.16</v>
      </c>
      <c r="J48" s="33">
        <f>F48*0.8/100</f>
        <v>0.16</v>
      </c>
      <c r="K48" s="22">
        <f>E48*49.2/100</f>
        <v>9.84</v>
      </c>
      <c r="L48" s="33">
        <f>F48*49.2/100</f>
        <v>9.84</v>
      </c>
      <c r="M48" s="22">
        <f t="shared" si="20"/>
        <v>46.879999999999995</v>
      </c>
      <c r="N48" s="35">
        <f t="shared" si="20"/>
        <v>46.879999999999995</v>
      </c>
    </row>
    <row r="49" spans="2:14" x14ac:dyDescent="0.25">
      <c r="B49" s="248"/>
      <c r="C49" s="21" t="s">
        <v>112</v>
      </c>
      <c r="D49" s="6" t="s">
        <v>113</v>
      </c>
      <c r="E49" s="177">
        <v>150</v>
      </c>
      <c r="F49" s="31">
        <v>150</v>
      </c>
      <c r="G49" s="22">
        <f>E49*0.4/100</f>
        <v>0.6</v>
      </c>
      <c r="H49" s="33">
        <f>F49*0.4/100</f>
        <v>0.6</v>
      </c>
      <c r="I49" s="22">
        <f>E49*0.4/100</f>
        <v>0.6</v>
      </c>
      <c r="J49" s="33">
        <f>F49*0.4/100</f>
        <v>0.6</v>
      </c>
      <c r="K49" s="22">
        <f>E49*9.8/100</f>
        <v>14.7</v>
      </c>
      <c r="L49" s="33">
        <f>F49*9.8/100</f>
        <v>14.7</v>
      </c>
      <c r="M49" s="22">
        <f>G49*4+I49*9+K49*4</f>
        <v>66.599999999999994</v>
      </c>
      <c r="N49" s="35">
        <f>H49*4+J49*9+L49*4</f>
        <v>66.599999999999994</v>
      </c>
    </row>
    <row r="50" spans="2:14" x14ac:dyDescent="0.25">
      <c r="B50" s="248"/>
      <c r="C50" s="26"/>
      <c r="D50" s="4" t="s">
        <v>13</v>
      </c>
      <c r="E50" s="24">
        <f t="shared" ref="E50:L50" si="23">SUM(E45:E49)</f>
        <v>535</v>
      </c>
      <c r="F50" s="32">
        <f t="shared" si="23"/>
        <v>570</v>
      </c>
      <c r="G50" s="7">
        <f t="shared" si="23"/>
        <v>21.82</v>
      </c>
      <c r="H50" s="34">
        <f t="shared" si="23"/>
        <v>25.72</v>
      </c>
      <c r="I50" s="154">
        <f t="shared" si="23"/>
        <v>8.36</v>
      </c>
      <c r="J50" s="34">
        <f t="shared" si="23"/>
        <v>9.86</v>
      </c>
      <c r="K50" s="154">
        <f t="shared" si="23"/>
        <v>62.490000000000009</v>
      </c>
      <c r="L50" s="34">
        <f t="shared" si="23"/>
        <v>69.44</v>
      </c>
      <c r="M50" s="7">
        <f>G50*4+I50*9+K50*4</f>
        <v>412.48</v>
      </c>
      <c r="N50" s="36">
        <f t="shared" si="20"/>
        <v>469.38</v>
      </c>
    </row>
    <row r="51" spans="2:14" x14ac:dyDescent="0.25">
      <c r="B51" s="248"/>
      <c r="C51" s="250" t="s">
        <v>9</v>
      </c>
      <c r="D51" s="251"/>
      <c r="E51" s="251"/>
      <c r="F51" s="251"/>
      <c r="G51" s="251"/>
      <c r="H51" s="251"/>
      <c r="I51" s="251"/>
      <c r="J51" s="251"/>
      <c r="K51" s="251"/>
      <c r="L51" s="251"/>
      <c r="M51" s="251"/>
      <c r="N51" s="252"/>
    </row>
    <row r="52" spans="2:14" x14ac:dyDescent="0.25">
      <c r="B52" s="248"/>
      <c r="C52" s="56" t="s">
        <v>124</v>
      </c>
      <c r="D52" s="9" t="s">
        <v>125</v>
      </c>
      <c r="E52" s="162">
        <v>60</v>
      </c>
      <c r="F52" s="37">
        <v>100</v>
      </c>
      <c r="G52" s="22">
        <f>E52*1.67/100</f>
        <v>1.0019999999999998</v>
      </c>
      <c r="H52" s="33">
        <f>F52*1.67/100</f>
        <v>1.67</v>
      </c>
      <c r="I52" s="22">
        <f>E52*10.2/100</f>
        <v>6.12</v>
      </c>
      <c r="J52" s="33">
        <f>F52*10.2/100</f>
        <v>10.199999999999999</v>
      </c>
      <c r="K52" s="22">
        <f>E52*7.95/100</f>
        <v>4.7699999999999996</v>
      </c>
      <c r="L52" s="33">
        <f>F52*7.95/100</f>
        <v>7.95</v>
      </c>
      <c r="M52" s="23">
        <f t="shared" ref="M52:N58" si="24">G52*4+I52*9+K52*4</f>
        <v>78.167999999999992</v>
      </c>
      <c r="N52" s="41">
        <f t="shared" si="24"/>
        <v>130.28</v>
      </c>
    </row>
    <row r="53" spans="2:14" s="16" customFormat="1" x14ac:dyDescent="0.25">
      <c r="B53" s="248"/>
      <c r="C53" s="58" t="s">
        <v>148</v>
      </c>
      <c r="D53" s="175" t="s">
        <v>149</v>
      </c>
      <c r="E53" s="166">
        <v>200</v>
      </c>
      <c r="F53" s="43">
        <v>250</v>
      </c>
      <c r="G53" s="22">
        <f>E53*1.93/100</f>
        <v>3.86</v>
      </c>
      <c r="H53" s="33">
        <f>F53*1.93/100</f>
        <v>4.8250000000000002</v>
      </c>
      <c r="I53" s="22">
        <f>E53*2.85/100</f>
        <v>5.7</v>
      </c>
      <c r="J53" s="33">
        <f>F53*2.85/100</f>
        <v>7.125</v>
      </c>
      <c r="K53" s="22">
        <f>E53*5.96/100</f>
        <v>11.92</v>
      </c>
      <c r="L53" s="33">
        <f>F53*5.96/100</f>
        <v>14.9</v>
      </c>
      <c r="M53" s="23">
        <f t="shared" si="24"/>
        <v>114.42000000000002</v>
      </c>
      <c r="N53" s="41">
        <f t="shared" si="24"/>
        <v>143.02500000000001</v>
      </c>
    </row>
    <row r="54" spans="2:14" x14ac:dyDescent="0.25">
      <c r="B54" s="248"/>
      <c r="C54" s="20" t="s">
        <v>126</v>
      </c>
      <c r="D54" s="8" t="s">
        <v>127</v>
      </c>
      <c r="E54" s="162">
        <v>230</v>
      </c>
      <c r="F54" s="31">
        <v>250</v>
      </c>
      <c r="G54" s="22">
        <f>E54*7.31/100</f>
        <v>16.812999999999999</v>
      </c>
      <c r="H54" s="33">
        <f>F54*7.31/100</f>
        <v>18.274999999999999</v>
      </c>
      <c r="I54" s="162">
        <f>E54*9.9/100</f>
        <v>22.77</v>
      </c>
      <c r="J54" s="33">
        <f>F54*9.9/100</f>
        <v>24.75</v>
      </c>
      <c r="K54" s="22">
        <f>E54*6.27/100</f>
        <v>14.420999999999999</v>
      </c>
      <c r="L54" s="33">
        <f>F54*6.27/100</f>
        <v>15.675000000000001</v>
      </c>
      <c r="M54" s="22">
        <f t="shared" si="24"/>
        <v>329.86599999999999</v>
      </c>
      <c r="N54" s="35">
        <f t="shared" si="24"/>
        <v>358.55</v>
      </c>
    </row>
    <row r="55" spans="2:14" x14ac:dyDescent="0.25">
      <c r="B55" s="248"/>
      <c r="C55" s="21" t="s">
        <v>75</v>
      </c>
      <c r="D55" s="6" t="s">
        <v>76</v>
      </c>
      <c r="E55" s="162">
        <v>200</v>
      </c>
      <c r="F55" s="31">
        <v>200</v>
      </c>
      <c r="G55" s="22">
        <f>E55*0.5/100</f>
        <v>1</v>
      </c>
      <c r="H55" s="33">
        <f>F55*0.5/100</f>
        <v>1</v>
      </c>
      <c r="I55" s="22">
        <f>E55*0.1/100</f>
        <v>0.2</v>
      </c>
      <c r="J55" s="33">
        <f>F55*0.1/100</f>
        <v>0.2</v>
      </c>
      <c r="K55" s="22">
        <f>E55*10.1/100</f>
        <v>20.2</v>
      </c>
      <c r="L55" s="33">
        <f>F55*10.1/100</f>
        <v>20.2</v>
      </c>
      <c r="M55" s="22">
        <f t="shared" si="24"/>
        <v>86.6</v>
      </c>
      <c r="N55" s="35">
        <f t="shared" si="24"/>
        <v>86.6</v>
      </c>
    </row>
    <row r="56" spans="2:14" s="16" customFormat="1" x14ac:dyDescent="0.25">
      <c r="B56" s="248"/>
      <c r="C56" s="105" t="s">
        <v>185</v>
      </c>
      <c r="D56" s="106" t="s">
        <v>186</v>
      </c>
      <c r="E56" s="107">
        <v>60</v>
      </c>
      <c r="F56" s="108">
        <v>60</v>
      </c>
      <c r="G56" s="109">
        <f>E56*3.67/40</f>
        <v>5.5049999999999999</v>
      </c>
      <c r="H56" s="110">
        <f>F56*3.67/40</f>
        <v>5.5049999999999999</v>
      </c>
      <c r="I56" s="109">
        <f>E56*5.65/40</f>
        <v>8.4749999999999996</v>
      </c>
      <c r="J56" s="110">
        <f>F56*5.65/40</f>
        <v>8.4749999999999996</v>
      </c>
      <c r="K56" s="109">
        <f>E56*20.12/40</f>
        <v>30.18</v>
      </c>
      <c r="L56" s="110">
        <f>F56*20.12/40</f>
        <v>30.18</v>
      </c>
      <c r="M56" s="109">
        <f t="shared" si="24"/>
        <v>219.01499999999999</v>
      </c>
      <c r="N56" s="111">
        <f t="shared" si="24"/>
        <v>219.01499999999999</v>
      </c>
    </row>
    <row r="57" spans="2:14" x14ac:dyDescent="0.25">
      <c r="B57" s="248"/>
      <c r="C57" s="21" t="s">
        <v>79</v>
      </c>
      <c r="D57" s="6" t="s">
        <v>23</v>
      </c>
      <c r="E57" s="62">
        <v>30</v>
      </c>
      <c r="F57" s="63">
        <v>30</v>
      </c>
      <c r="G57" s="22">
        <f>E57*8/100</f>
        <v>2.4</v>
      </c>
      <c r="H57" s="33">
        <f>F57*8/100</f>
        <v>2.4</v>
      </c>
      <c r="I57" s="22">
        <f>E57*1.5/100</f>
        <v>0.45</v>
      </c>
      <c r="J57" s="33">
        <f>F57*1.5/100</f>
        <v>0.45</v>
      </c>
      <c r="K57" s="22">
        <f>E57*40.1/100</f>
        <v>12.03</v>
      </c>
      <c r="L57" s="33">
        <f>F57*40.1/100</f>
        <v>12.03</v>
      </c>
      <c r="M57" s="22">
        <f t="shared" si="24"/>
        <v>61.769999999999996</v>
      </c>
      <c r="N57" s="35">
        <f t="shared" si="24"/>
        <v>61.769999999999996</v>
      </c>
    </row>
    <row r="58" spans="2:14" s="16" customFormat="1" x14ac:dyDescent="0.25">
      <c r="B58" s="248"/>
      <c r="C58" s="21" t="s">
        <v>80</v>
      </c>
      <c r="D58" s="6" t="s">
        <v>81</v>
      </c>
      <c r="E58" s="62">
        <v>40</v>
      </c>
      <c r="F58" s="63">
        <v>40</v>
      </c>
      <c r="G58" s="22">
        <f>E58*7.6/100</f>
        <v>3.04</v>
      </c>
      <c r="H58" s="33">
        <f>F58*7.6/100</f>
        <v>3.04</v>
      </c>
      <c r="I58" s="22">
        <f>E58*0.8/100</f>
        <v>0.32</v>
      </c>
      <c r="J58" s="33">
        <f>F58*0.8/100</f>
        <v>0.32</v>
      </c>
      <c r="K58" s="22">
        <f>E58*49.2/100</f>
        <v>19.68</v>
      </c>
      <c r="L58" s="33">
        <f>F58*49.2/100</f>
        <v>19.68</v>
      </c>
      <c r="M58" s="22">
        <f t="shared" si="24"/>
        <v>93.759999999999991</v>
      </c>
      <c r="N58" s="35">
        <f t="shared" si="24"/>
        <v>93.759999999999991</v>
      </c>
    </row>
    <row r="59" spans="2:14" x14ac:dyDescent="0.25">
      <c r="B59" s="248"/>
      <c r="C59" s="21"/>
      <c r="D59" s="4" t="s">
        <v>14</v>
      </c>
      <c r="E59" s="24">
        <f>SUM(E52:E58)</f>
        <v>820</v>
      </c>
      <c r="F59" s="38">
        <f t="shared" ref="F59:N59" si="25">SUM(F52:F58)</f>
        <v>930</v>
      </c>
      <c r="G59" s="7">
        <f>SUM(G52:G58)</f>
        <v>33.619999999999997</v>
      </c>
      <c r="H59" s="34">
        <f>SUM(H52:H58)</f>
        <v>36.714999999999996</v>
      </c>
      <c r="I59" s="7">
        <f>SUM(I52:I58)</f>
        <v>44.035000000000011</v>
      </c>
      <c r="J59" s="34">
        <f t="shared" si="25"/>
        <v>51.52000000000001</v>
      </c>
      <c r="K59" s="7">
        <f t="shared" si="25"/>
        <v>113.20099999999999</v>
      </c>
      <c r="L59" s="34">
        <f t="shared" si="25"/>
        <v>120.61500000000001</v>
      </c>
      <c r="M59" s="7">
        <f>SUM(M52:M58)</f>
        <v>983.59899999999993</v>
      </c>
      <c r="N59" s="36">
        <f t="shared" si="25"/>
        <v>1093</v>
      </c>
    </row>
    <row r="60" spans="2:14" ht="15.75" thickBot="1" x14ac:dyDescent="0.3">
      <c r="B60" s="249"/>
      <c r="C60" s="25"/>
      <c r="D60" s="17" t="s">
        <v>12</v>
      </c>
      <c r="E60" s="18"/>
      <c r="F60" s="39"/>
      <c r="G60" s="19">
        <f>G50+G59</f>
        <v>55.44</v>
      </c>
      <c r="H60" s="40">
        <f>H50+H59</f>
        <v>62.434999999999995</v>
      </c>
      <c r="I60" s="19">
        <f t="shared" ref="I60:N60" si="26">I50+I59</f>
        <v>52.39500000000001</v>
      </c>
      <c r="J60" s="40">
        <f t="shared" si="26"/>
        <v>61.38000000000001</v>
      </c>
      <c r="K60" s="179">
        <f t="shared" si="26"/>
        <v>175.691</v>
      </c>
      <c r="L60" s="40">
        <f>L50+L59</f>
        <v>190.05500000000001</v>
      </c>
      <c r="M60" s="19">
        <f>M50+M59</f>
        <v>1396.079</v>
      </c>
      <c r="N60" s="42">
        <f t="shared" si="26"/>
        <v>1562.38</v>
      </c>
    </row>
    <row r="61" spans="2:14" ht="15.75" x14ac:dyDescent="0.25">
      <c r="B61" s="238"/>
      <c r="C61" s="238"/>
      <c r="D61" s="238"/>
      <c r="E61" s="238"/>
      <c r="H61" s="15"/>
    </row>
    <row r="62" spans="2:14" x14ac:dyDescent="0.25">
      <c r="H62" s="1"/>
    </row>
    <row r="75" spans="6:6" x14ac:dyDescent="0.25">
      <c r="F75" s="1"/>
    </row>
    <row r="83" spans="10:10" x14ac:dyDescent="0.25">
      <c r="J83" s="1"/>
    </row>
  </sheetData>
  <mergeCells count="20">
    <mergeCell ref="C51:N51"/>
    <mergeCell ref="C44:N44"/>
    <mergeCell ref="B61:E61"/>
    <mergeCell ref="C6:N6"/>
    <mergeCell ref="C16:N16"/>
    <mergeCell ref="C26:N26"/>
    <mergeCell ref="C34:N34"/>
    <mergeCell ref="B6:B25"/>
    <mergeCell ref="B26:B43"/>
    <mergeCell ref="B44:B60"/>
    <mergeCell ref="M3:N4"/>
    <mergeCell ref="G4:H4"/>
    <mergeCell ref="I4:J4"/>
    <mergeCell ref="K4:L4"/>
    <mergeCell ref="B2:E2"/>
    <mergeCell ref="B3:B5"/>
    <mergeCell ref="C3:C5"/>
    <mergeCell ref="D3:D5"/>
    <mergeCell ref="E3:F4"/>
    <mergeCell ref="G3:L3"/>
  </mergeCells>
  <pageMargins left="0.23622047244094491" right="0.23622047244094491" top="0.19685039370078741" bottom="0.19685039370078741" header="0.31496062992125984" footer="0.31496062992125984"/>
  <pageSetup paperSize="9" scale="72" fitToHeight="0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B1:Z85"/>
  <sheetViews>
    <sheetView zoomScale="90" zoomScaleNormal="90" zoomScalePageLayoutView="90" workbookViewId="0">
      <selection activeCell="C15" sqref="C15:N15"/>
    </sheetView>
  </sheetViews>
  <sheetFormatPr defaultRowHeight="15" x14ac:dyDescent="0.25"/>
  <cols>
    <col min="1" max="1" width="8.42578125" style="16" customWidth="1"/>
    <col min="2" max="2" width="2.7109375" style="16" customWidth="1"/>
    <col min="3" max="3" width="10.5703125" style="16" customWidth="1"/>
    <col min="4" max="4" width="38" style="16" customWidth="1"/>
    <col min="5" max="6" width="7.28515625" style="16" customWidth="1"/>
    <col min="7" max="7" width="6.7109375" style="16" customWidth="1"/>
    <col min="8" max="8" width="6.85546875" style="16" customWidth="1"/>
    <col min="9" max="9" width="6.42578125" style="16" customWidth="1"/>
    <col min="10" max="10" width="6.5703125" style="16" customWidth="1"/>
    <col min="11" max="11" width="7.5703125" style="16" customWidth="1"/>
    <col min="12" max="12" width="7.42578125" style="16" customWidth="1"/>
    <col min="13" max="13" width="8.5703125" style="16" customWidth="1"/>
    <col min="14" max="14" width="7.5703125" style="16" customWidth="1"/>
    <col min="15" max="15" width="9" style="16" customWidth="1"/>
    <col min="16" max="16" width="7.28515625" style="16" customWidth="1"/>
    <col min="17" max="20" width="9.140625" style="16"/>
    <col min="21" max="21" width="19.7109375" style="16" customWidth="1"/>
    <col min="22" max="22" width="7.7109375" style="16" customWidth="1"/>
    <col min="23" max="23" width="9.140625" style="16"/>
    <col min="24" max="24" width="7.7109375" style="16" customWidth="1"/>
    <col min="25" max="16384" width="9.140625" style="16"/>
  </cols>
  <sheetData>
    <row r="1" spans="2:26" ht="23.25" customHeight="1" x14ac:dyDescent="0.25"/>
    <row r="2" spans="2:26" ht="16.5" customHeight="1" thickBot="1" x14ac:dyDescent="0.3">
      <c r="B2" s="238" t="s">
        <v>48</v>
      </c>
      <c r="C2" s="238"/>
      <c r="D2" s="238"/>
      <c r="E2" s="238"/>
      <c r="O2" s="2"/>
      <c r="P2" s="2"/>
      <c r="Q2" s="1"/>
      <c r="R2" s="1"/>
      <c r="S2" s="1"/>
      <c r="T2" s="1"/>
      <c r="U2" s="2"/>
      <c r="V2" s="2"/>
      <c r="W2" s="1"/>
      <c r="X2" s="1"/>
      <c r="Y2" s="1"/>
      <c r="Z2" s="1"/>
    </row>
    <row r="3" spans="2:26" ht="15" customHeight="1" x14ac:dyDescent="0.25">
      <c r="B3" s="239" t="s">
        <v>38</v>
      </c>
      <c r="C3" s="253" t="s">
        <v>0</v>
      </c>
      <c r="D3" s="256" t="s">
        <v>1</v>
      </c>
      <c r="E3" s="259" t="s">
        <v>6</v>
      </c>
      <c r="F3" s="260"/>
      <c r="G3" s="263" t="s">
        <v>7</v>
      </c>
      <c r="H3" s="263"/>
      <c r="I3" s="263"/>
      <c r="J3" s="263"/>
      <c r="K3" s="263"/>
      <c r="L3" s="263"/>
      <c r="M3" s="264" t="s">
        <v>5</v>
      </c>
      <c r="N3" s="265"/>
      <c r="O3" s="1"/>
      <c r="P3" s="3"/>
      <c r="Q3" s="5"/>
      <c r="R3" s="5"/>
      <c r="S3" s="5"/>
      <c r="T3" s="5"/>
      <c r="U3" s="1"/>
      <c r="V3" s="3"/>
      <c r="W3" s="5"/>
      <c r="X3" s="5"/>
      <c r="Y3" s="5"/>
      <c r="Z3" s="5"/>
    </row>
    <row r="4" spans="2:26" x14ac:dyDescent="0.25">
      <c r="B4" s="240"/>
      <c r="C4" s="254"/>
      <c r="D4" s="257"/>
      <c r="E4" s="261"/>
      <c r="F4" s="262"/>
      <c r="G4" s="268" t="s">
        <v>3</v>
      </c>
      <c r="H4" s="268"/>
      <c r="I4" s="266" t="s">
        <v>2</v>
      </c>
      <c r="J4" s="266"/>
      <c r="K4" s="268" t="s">
        <v>4</v>
      </c>
      <c r="L4" s="268"/>
      <c r="M4" s="266"/>
      <c r="N4" s="267"/>
      <c r="O4" s="1"/>
      <c r="P4" s="3"/>
      <c r="Q4" s="5"/>
      <c r="R4" s="5"/>
      <c r="S4" s="5"/>
      <c r="T4" s="5"/>
      <c r="U4" s="1"/>
      <c r="V4" s="3"/>
      <c r="W4" s="5"/>
      <c r="X4" s="5"/>
      <c r="Y4" s="5"/>
      <c r="Z4" s="5"/>
    </row>
    <row r="5" spans="2:26" ht="27.75" customHeight="1" thickBot="1" x14ac:dyDescent="0.3">
      <c r="B5" s="241"/>
      <c r="C5" s="255"/>
      <c r="D5" s="258"/>
      <c r="E5" s="27" t="s">
        <v>15</v>
      </c>
      <c r="F5" s="28" t="s">
        <v>43</v>
      </c>
      <c r="G5" s="27" t="s">
        <v>15</v>
      </c>
      <c r="H5" s="28" t="s">
        <v>43</v>
      </c>
      <c r="I5" s="27" t="s">
        <v>15</v>
      </c>
      <c r="J5" s="28" t="s">
        <v>43</v>
      </c>
      <c r="K5" s="27" t="s">
        <v>15</v>
      </c>
      <c r="L5" s="28" t="s">
        <v>43</v>
      </c>
      <c r="M5" s="27" t="s">
        <v>15</v>
      </c>
      <c r="N5" s="29" t="s">
        <v>43</v>
      </c>
      <c r="O5" s="1"/>
      <c r="P5" s="3"/>
      <c r="Q5" s="5"/>
      <c r="R5" s="5"/>
      <c r="S5" s="5"/>
      <c r="T5" s="5"/>
      <c r="U5" s="1"/>
      <c r="V5" s="3"/>
      <c r="W5" s="5"/>
      <c r="X5" s="5"/>
      <c r="Y5" s="5"/>
      <c r="Z5" s="5"/>
    </row>
    <row r="6" spans="2:26" ht="15" customHeight="1" x14ac:dyDescent="0.25">
      <c r="B6" s="278" t="s">
        <v>179</v>
      </c>
      <c r="C6" s="306" t="s">
        <v>8</v>
      </c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8"/>
      <c r="O6" s="1"/>
      <c r="P6" s="3"/>
      <c r="Q6" s="5"/>
      <c r="R6" s="5"/>
      <c r="S6" s="5"/>
      <c r="T6" s="5"/>
      <c r="U6" s="1"/>
      <c r="V6" s="3"/>
      <c r="W6" s="5"/>
      <c r="X6" s="5"/>
      <c r="Y6" s="5"/>
      <c r="Z6" s="5"/>
    </row>
    <row r="7" spans="2:26" x14ac:dyDescent="0.25">
      <c r="B7" s="279"/>
      <c r="C7" s="20" t="s">
        <v>61</v>
      </c>
      <c r="D7" s="8" t="s">
        <v>60</v>
      </c>
      <c r="E7" s="162">
        <v>150</v>
      </c>
      <c r="F7" s="30">
        <v>200</v>
      </c>
      <c r="G7" s="22">
        <f>E7*3.63/100</f>
        <v>5.4450000000000003</v>
      </c>
      <c r="H7" s="33">
        <f>F7*3.63/100</f>
        <v>7.26</v>
      </c>
      <c r="I7" s="22">
        <f>E7*3.62/100</f>
        <v>5.43</v>
      </c>
      <c r="J7" s="33">
        <f>F7*3.62/100</f>
        <v>7.24</v>
      </c>
      <c r="K7" s="22">
        <f>E7*17.42/100</f>
        <v>26.130000000000006</v>
      </c>
      <c r="L7" s="33">
        <f>F7*17.42/100</f>
        <v>34.840000000000003</v>
      </c>
      <c r="M7" s="22">
        <f t="shared" ref="M7:N12" si="0">G7*4+I7*9+K7*4</f>
        <v>175.17000000000002</v>
      </c>
      <c r="N7" s="35">
        <f t="shared" si="0"/>
        <v>233.56</v>
      </c>
      <c r="O7" s="1"/>
    </row>
    <row r="8" spans="2:26" x14ac:dyDescent="0.25">
      <c r="B8" s="279"/>
      <c r="C8" s="96" t="s">
        <v>116</v>
      </c>
      <c r="D8" s="97" t="s">
        <v>117</v>
      </c>
      <c r="E8" s="162">
        <v>15</v>
      </c>
      <c r="F8" s="95">
        <v>20</v>
      </c>
      <c r="G8" s="22">
        <f>E8*0.8/100</f>
        <v>0.12</v>
      </c>
      <c r="H8" s="33">
        <f>F8*0.8/100</f>
        <v>0.16</v>
      </c>
      <c r="I8" s="22">
        <f>E8*72.5/100</f>
        <v>10.875</v>
      </c>
      <c r="J8" s="33">
        <f>F8*72.5/100</f>
        <v>14.5</v>
      </c>
      <c r="K8" s="22">
        <f>E8*1.3/100</f>
        <v>0.19500000000000001</v>
      </c>
      <c r="L8" s="33">
        <f>F8*1.3/100</f>
        <v>0.26</v>
      </c>
      <c r="M8" s="22">
        <f t="shared" si="0"/>
        <v>99.135000000000005</v>
      </c>
      <c r="N8" s="35">
        <f t="shared" si="0"/>
        <v>132.17999999999998</v>
      </c>
      <c r="O8" s="1"/>
    </row>
    <row r="9" spans="2:26" x14ac:dyDescent="0.25">
      <c r="B9" s="279"/>
      <c r="C9" s="20" t="s">
        <v>221</v>
      </c>
      <c r="D9" s="8" t="s">
        <v>222</v>
      </c>
      <c r="E9" s="162">
        <v>25</v>
      </c>
      <c r="F9" s="30">
        <v>25</v>
      </c>
      <c r="G9" s="22">
        <f>E9*12.7/100</f>
        <v>3.1749999999999998</v>
      </c>
      <c r="H9" s="33">
        <f>F9*12.7/100</f>
        <v>3.1749999999999998</v>
      </c>
      <c r="I9" s="22">
        <f>E9*11.5/100</f>
        <v>2.875</v>
      </c>
      <c r="J9" s="33">
        <f>F9*11.5/100</f>
        <v>2.875</v>
      </c>
      <c r="K9" s="22">
        <f>E9*0.07/100</f>
        <v>1.7500000000000002E-2</v>
      </c>
      <c r="L9" s="33">
        <f>F9*0.07/100</f>
        <v>1.7500000000000002E-2</v>
      </c>
      <c r="M9" s="22">
        <f t="shared" si="0"/>
        <v>38.645000000000003</v>
      </c>
      <c r="N9" s="35">
        <f t="shared" si="0"/>
        <v>38.645000000000003</v>
      </c>
      <c r="O9" s="1"/>
    </row>
    <row r="10" spans="2:26" x14ac:dyDescent="0.25">
      <c r="B10" s="279"/>
      <c r="C10" s="20" t="s">
        <v>56</v>
      </c>
      <c r="D10" s="9" t="s">
        <v>57</v>
      </c>
      <c r="E10" s="177">
        <v>200</v>
      </c>
      <c r="F10" s="31">
        <v>200</v>
      </c>
      <c r="G10" s="22">
        <f>E10*1.65/100</f>
        <v>3.3</v>
      </c>
      <c r="H10" s="33">
        <f>F10*1.65/100</f>
        <v>3.3</v>
      </c>
      <c r="I10" s="22">
        <f>E10*1.45/100</f>
        <v>2.9</v>
      </c>
      <c r="J10" s="33">
        <f>F10*1.45/100</f>
        <v>2.9</v>
      </c>
      <c r="K10" s="22">
        <f>E10*6.9/100</f>
        <v>13.8</v>
      </c>
      <c r="L10" s="33">
        <f>F10*6.9/100</f>
        <v>13.8</v>
      </c>
      <c r="M10" s="22">
        <f>G10*4+I10*9+K10*4</f>
        <v>94.5</v>
      </c>
      <c r="N10" s="35">
        <f>H10*4+J10*9+L10*4</f>
        <v>94.5</v>
      </c>
      <c r="O10" s="1"/>
    </row>
    <row r="11" spans="2:26" x14ac:dyDescent="0.25">
      <c r="B11" s="279"/>
      <c r="C11" s="21" t="s">
        <v>79</v>
      </c>
      <c r="D11" s="6" t="s">
        <v>23</v>
      </c>
      <c r="E11" s="62">
        <v>20</v>
      </c>
      <c r="F11" s="63">
        <v>20</v>
      </c>
      <c r="G11" s="22">
        <f>E11*8/100</f>
        <v>1.6</v>
      </c>
      <c r="H11" s="33">
        <f>F11*8/100</f>
        <v>1.6</v>
      </c>
      <c r="I11" s="22">
        <f>E11*1.5/100</f>
        <v>0.3</v>
      </c>
      <c r="J11" s="33">
        <f>F11*1.5/100</f>
        <v>0.3</v>
      </c>
      <c r="K11" s="22">
        <f>E11*40.1/100</f>
        <v>8.02</v>
      </c>
      <c r="L11" s="33">
        <f>F11*40.1/100</f>
        <v>8.02</v>
      </c>
      <c r="M11" s="22">
        <f t="shared" ref="M11" si="1">G11*4+I11*9+K11*4</f>
        <v>41.18</v>
      </c>
      <c r="N11" s="35">
        <f t="shared" ref="N11" si="2">H11*4+J11*9+L11*4</f>
        <v>41.18</v>
      </c>
      <c r="O11" s="1"/>
    </row>
    <row r="12" spans="2:26" x14ac:dyDescent="0.25">
      <c r="B12" s="279"/>
      <c r="C12" s="21" t="s">
        <v>80</v>
      </c>
      <c r="D12" s="6" t="s">
        <v>81</v>
      </c>
      <c r="E12" s="62">
        <v>30</v>
      </c>
      <c r="F12" s="63">
        <v>30</v>
      </c>
      <c r="G12" s="22">
        <f>E12*7.6/100</f>
        <v>2.2799999999999998</v>
      </c>
      <c r="H12" s="33">
        <f>F12*7.6/100</f>
        <v>2.2799999999999998</v>
      </c>
      <c r="I12" s="22">
        <f>E12*0.8/100</f>
        <v>0.24</v>
      </c>
      <c r="J12" s="33">
        <f>F12*0.8/100</f>
        <v>0.24</v>
      </c>
      <c r="K12" s="22">
        <f>E12*49.2/100</f>
        <v>14.76</v>
      </c>
      <c r="L12" s="33">
        <f>F12*49.2/100</f>
        <v>14.76</v>
      </c>
      <c r="M12" s="22">
        <f t="shared" si="0"/>
        <v>70.319999999999993</v>
      </c>
      <c r="N12" s="35">
        <f t="shared" si="0"/>
        <v>70.319999999999993</v>
      </c>
      <c r="O12" s="1"/>
    </row>
    <row r="13" spans="2:26" x14ac:dyDescent="0.25">
      <c r="B13" s="279"/>
      <c r="C13" s="21" t="s">
        <v>112</v>
      </c>
      <c r="D13" s="6" t="s">
        <v>113</v>
      </c>
      <c r="E13" s="162">
        <v>150</v>
      </c>
      <c r="F13" s="31">
        <v>150</v>
      </c>
      <c r="G13" s="22">
        <f>E13*0.4/100</f>
        <v>0.6</v>
      </c>
      <c r="H13" s="33">
        <f>F13*0.4/100</f>
        <v>0.6</v>
      </c>
      <c r="I13" s="22">
        <f>E13*0.4/100</f>
        <v>0.6</v>
      </c>
      <c r="J13" s="33">
        <f>F13*0.4/100</f>
        <v>0.6</v>
      </c>
      <c r="K13" s="22">
        <f>E13*9.8/100</f>
        <v>14.7</v>
      </c>
      <c r="L13" s="33">
        <f>F13*9.8/100</f>
        <v>14.7</v>
      </c>
      <c r="M13" s="22">
        <f>G13*4+I13*9+K13*4</f>
        <v>66.599999999999994</v>
      </c>
      <c r="N13" s="35">
        <f>H13*4+J13*9+L13*4</f>
        <v>66.599999999999994</v>
      </c>
      <c r="O13" s="1"/>
    </row>
    <row r="14" spans="2:26" x14ac:dyDescent="0.25">
      <c r="B14" s="279"/>
      <c r="C14" s="26"/>
      <c r="D14" s="4" t="s">
        <v>13</v>
      </c>
      <c r="E14" s="24">
        <f t="shared" ref="E14:N14" si="3">SUM(E7:E13)</f>
        <v>590</v>
      </c>
      <c r="F14" s="163">
        <f t="shared" si="3"/>
        <v>645</v>
      </c>
      <c r="G14" s="178">
        <f t="shared" si="3"/>
        <v>16.52</v>
      </c>
      <c r="H14" s="34">
        <f t="shared" si="3"/>
        <v>18.375</v>
      </c>
      <c r="I14" s="7">
        <f t="shared" si="3"/>
        <v>23.22</v>
      </c>
      <c r="J14" s="34">
        <f t="shared" si="3"/>
        <v>28.655000000000001</v>
      </c>
      <c r="K14" s="7">
        <f t="shared" si="3"/>
        <v>77.622500000000002</v>
      </c>
      <c r="L14" s="34">
        <f t="shared" si="3"/>
        <v>86.397500000000008</v>
      </c>
      <c r="M14" s="7">
        <f t="shared" si="3"/>
        <v>585.55000000000007</v>
      </c>
      <c r="N14" s="34">
        <f t="shared" si="3"/>
        <v>676.98500000000001</v>
      </c>
      <c r="O14" s="1"/>
    </row>
    <row r="15" spans="2:26" x14ac:dyDescent="0.25">
      <c r="B15" s="279"/>
      <c r="C15" s="235" t="s">
        <v>9</v>
      </c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7"/>
    </row>
    <row r="16" spans="2:26" x14ac:dyDescent="0.25">
      <c r="B16" s="279"/>
      <c r="C16" s="20" t="s">
        <v>267</v>
      </c>
      <c r="D16" s="8" t="s">
        <v>268</v>
      </c>
      <c r="E16" s="167">
        <v>60</v>
      </c>
      <c r="F16" s="37">
        <v>100</v>
      </c>
      <c r="G16" s="22">
        <f>E16*1.2/100</f>
        <v>0.72</v>
      </c>
      <c r="H16" s="33">
        <f>F16*1.2/100</f>
        <v>1.2</v>
      </c>
      <c r="I16" s="22">
        <f>E16*5.1/100</f>
        <v>3.06</v>
      </c>
      <c r="J16" s="33">
        <f>F16*5.1/100</f>
        <v>5.0999999999999996</v>
      </c>
      <c r="K16" s="22">
        <f>E16*5.5/100</f>
        <v>3.3</v>
      </c>
      <c r="L16" s="33">
        <f>F16*5.5/100</f>
        <v>5.5</v>
      </c>
      <c r="M16" s="23">
        <f>G16*4+I16*9+K16*4</f>
        <v>43.62</v>
      </c>
      <c r="N16" s="41">
        <f>H16*4+J16*9+L16*4</f>
        <v>72.699999999999989</v>
      </c>
      <c r="O16" s="1"/>
    </row>
    <row r="17" spans="2:26" x14ac:dyDescent="0.25">
      <c r="B17" s="279"/>
      <c r="C17" s="20" t="s">
        <v>92</v>
      </c>
      <c r="D17" s="9" t="s">
        <v>93</v>
      </c>
      <c r="E17" s="159">
        <v>200</v>
      </c>
      <c r="F17" s="43">
        <v>250</v>
      </c>
      <c r="G17" s="23">
        <f>E17*13.5/250</f>
        <v>10.8</v>
      </c>
      <c r="H17" s="44">
        <f>F17*13.5/250</f>
        <v>13.5</v>
      </c>
      <c r="I17" s="23">
        <f>E17*3.6/250</f>
        <v>2.88</v>
      </c>
      <c r="J17" s="44">
        <f>F17*3.6/250</f>
        <v>3.6</v>
      </c>
      <c r="K17" s="23">
        <f>E17*12.5/250</f>
        <v>10</v>
      </c>
      <c r="L17" s="44">
        <f>F17*12.5/250</f>
        <v>12.5</v>
      </c>
      <c r="M17" s="23">
        <f t="shared" ref="M17:N19" si="4">G17*4+I17*9+K17*4</f>
        <v>109.12</v>
      </c>
      <c r="N17" s="41">
        <f t="shared" si="4"/>
        <v>136.4</v>
      </c>
      <c r="O17" s="1"/>
    </row>
    <row r="18" spans="2:26" x14ac:dyDescent="0.25">
      <c r="B18" s="279"/>
      <c r="C18" s="20" t="s">
        <v>69</v>
      </c>
      <c r="D18" s="9" t="s">
        <v>70</v>
      </c>
      <c r="E18" s="162">
        <v>230</v>
      </c>
      <c r="F18" s="31">
        <v>250</v>
      </c>
      <c r="G18" s="22">
        <f>E18*5.7/100</f>
        <v>13.11</v>
      </c>
      <c r="H18" s="33">
        <f>F18*5.7/100</f>
        <v>14.25</v>
      </c>
      <c r="I18" s="22">
        <f>E18*9.45/100</f>
        <v>21.734999999999999</v>
      </c>
      <c r="J18" s="33">
        <f>F18*9.45/100</f>
        <v>23.625</v>
      </c>
      <c r="K18" s="22">
        <f>E18*9.4/100</f>
        <v>21.62</v>
      </c>
      <c r="L18" s="33">
        <f>F18*9.4/100</f>
        <v>23.5</v>
      </c>
      <c r="M18" s="22">
        <f t="shared" si="4"/>
        <v>334.53500000000003</v>
      </c>
      <c r="N18" s="35">
        <f t="shared" si="4"/>
        <v>363.625</v>
      </c>
      <c r="O18" s="1"/>
    </row>
    <row r="19" spans="2:26" x14ac:dyDescent="0.25">
      <c r="B19" s="279"/>
      <c r="C19" s="20" t="s">
        <v>130</v>
      </c>
      <c r="D19" s="9" t="s">
        <v>131</v>
      </c>
      <c r="E19" s="162">
        <v>200</v>
      </c>
      <c r="F19" s="31">
        <v>200</v>
      </c>
      <c r="G19" s="22">
        <f>E19*0.67/200</f>
        <v>0.67</v>
      </c>
      <c r="H19" s="33">
        <f>F19*0.67/200</f>
        <v>0.67</v>
      </c>
      <c r="I19" s="22">
        <f>E19*0.27/200</f>
        <v>0.27</v>
      </c>
      <c r="J19" s="33">
        <f>F19*0.27/200</f>
        <v>0.27</v>
      </c>
      <c r="K19" s="22">
        <f>E19*18.3/200</f>
        <v>18.3</v>
      </c>
      <c r="L19" s="33">
        <f>F19*18.3/200</f>
        <v>18.3</v>
      </c>
      <c r="M19" s="22">
        <f t="shared" si="4"/>
        <v>78.31</v>
      </c>
      <c r="N19" s="35">
        <f t="shared" si="4"/>
        <v>78.31</v>
      </c>
      <c r="O19" s="1"/>
    </row>
    <row r="20" spans="2:26" x14ac:dyDescent="0.25">
      <c r="B20" s="279"/>
      <c r="C20" s="116" t="s">
        <v>187</v>
      </c>
      <c r="D20" s="117" t="s">
        <v>188</v>
      </c>
      <c r="E20" s="107">
        <v>50</v>
      </c>
      <c r="F20" s="108">
        <v>50</v>
      </c>
      <c r="G20" s="109">
        <f>E20*4.3/60</f>
        <v>3.5833333333333335</v>
      </c>
      <c r="H20" s="110">
        <f>F20*4.3/60</f>
        <v>3.5833333333333335</v>
      </c>
      <c r="I20" s="109">
        <f>E20*8/60</f>
        <v>6.666666666666667</v>
      </c>
      <c r="J20" s="110">
        <f>F20*8/60</f>
        <v>6.666666666666667</v>
      </c>
      <c r="K20" s="109">
        <f>E20*28.8/60</f>
        <v>24</v>
      </c>
      <c r="L20" s="110">
        <f>F20*28.8/60</f>
        <v>24</v>
      </c>
      <c r="M20" s="109">
        <f t="shared" ref="M20:N22" si="5">G20*4+I20*9+K20*4</f>
        <v>170.33333333333331</v>
      </c>
      <c r="N20" s="111">
        <f t="shared" si="5"/>
        <v>170.33333333333331</v>
      </c>
      <c r="O20" s="1"/>
    </row>
    <row r="21" spans="2:26" x14ac:dyDescent="0.25">
      <c r="B21" s="279"/>
      <c r="C21" s="21" t="s">
        <v>79</v>
      </c>
      <c r="D21" s="6" t="s">
        <v>23</v>
      </c>
      <c r="E21" s="62">
        <v>30</v>
      </c>
      <c r="F21" s="63">
        <v>30</v>
      </c>
      <c r="G21" s="22">
        <f>E21*8/100</f>
        <v>2.4</v>
      </c>
      <c r="H21" s="33">
        <f>F21*8/100</f>
        <v>2.4</v>
      </c>
      <c r="I21" s="22">
        <f>E21*1.5/100</f>
        <v>0.45</v>
      </c>
      <c r="J21" s="33">
        <f>F21*1.5/100</f>
        <v>0.45</v>
      </c>
      <c r="K21" s="22">
        <f>E21*40.1/100</f>
        <v>12.03</v>
      </c>
      <c r="L21" s="33">
        <f>F21*40.1/100</f>
        <v>12.03</v>
      </c>
      <c r="M21" s="22">
        <f t="shared" si="5"/>
        <v>61.769999999999996</v>
      </c>
      <c r="N21" s="35">
        <f t="shared" si="5"/>
        <v>61.769999999999996</v>
      </c>
      <c r="O21" s="1"/>
    </row>
    <row r="22" spans="2:26" x14ac:dyDescent="0.25">
      <c r="B22" s="279"/>
      <c r="C22" s="21" t="s">
        <v>80</v>
      </c>
      <c r="D22" s="6" t="s">
        <v>81</v>
      </c>
      <c r="E22" s="62">
        <v>40</v>
      </c>
      <c r="F22" s="63">
        <v>40</v>
      </c>
      <c r="G22" s="22">
        <f>E22*7.6/100</f>
        <v>3.04</v>
      </c>
      <c r="H22" s="33">
        <f>F22*7.6/100</f>
        <v>3.04</v>
      </c>
      <c r="I22" s="22">
        <f>E22*0.8/100</f>
        <v>0.32</v>
      </c>
      <c r="J22" s="33">
        <f>F22*0.8/100</f>
        <v>0.32</v>
      </c>
      <c r="K22" s="22">
        <f>E22*49.2/100</f>
        <v>19.68</v>
      </c>
      <c r="L22" s="33">
        <f>F22*49.2/100</f>
        <v>19.68</v>
      </c>
      <c r="M22" s="22">
        <f t="shared" si="5"/>
        <v>93.759999999999991</v>
      </c>
      <c r="N22" s="35">
        <f t="shared" si="5"/>
        <v>93.759999999999991</v>
      </c>
      <c r="O22" s="1"/>
    </row>
    <row r="23" spans="2:26" x14ac:dyDescent="0.25">
      <c r="B23" s="279"/>
      <c r="C23" s="21"/>
      <c r="D23" s="4" t="s">
        <v>14</v>
      </c>
      <c r="E23" s="24">
        <f>SUM(E16:E22)</f>
        <v>810</v>
      </c>
      <c r="F23" s="163">
        <f t="shared" ref="F23:N23" si="6">SUM(F16:F22)</f>
        <v>920</v>
      </c>
      <c r="G23" s="7">
        <f t="shared" si="6"/>
        <v>34.323333333333338</v>
      </c>
      <c r="H23" s="34">
        <f>SUM(H16:H22)</f>
        <v>38.643333333333331</v>
      </c>
      <c r="I23" s="7">
        <f t="shared" si="6"/>
        <v>35.381666666666668</v>
      </c>
      <c r="J23" s="34">
        <f t="shared" si="6"/>
        <v>40.031666666666673</v>
      </c>
      <c r="K23" s="178">
        <f t="shared" si="6"/>
        <v>108.93</v>
      </c>
      <c r="L23" s="34">
        <f t="shared" si="6"/>
        <v>115.50999999999999</v>
      </c>
      <c r="M23" s="7">
        <f t="shared" si="6"/>
        <v>891.44833333333327</v>
      </c>
      <c r="N23" s="34">
        <f t="shared" si="6"/>
        <v>976.89833333333331</v>
      </c>
      <c r="O23" s="1"/>
      <c r="P23" s="3"/>
      <c r="Q23" s="5" t="s">
        <v>24</v>
      </c>
      <c r="R23" s="5"/>
      <c r="S23" s="5"/>
      <c r="T23" s="5"/>
      <c r="U23" s="1"/>
      <c r="V23" s="3"/>
      <c r="W23" s="5"/>
      <c r="X23" s="5"/>
      <c r="Y23" s="5"/>
      <c r="Z23" s="5"/>
    </row>
    <row r="24" spans="2:26" ht="15.75" thickBot="1" x14ac:dyDescent="0.3">
      <c r="B24" s="279"/>
      <c r="C24" s="65"/>
      <c r="D24" s="66" t="s">
        <v>12</v>
      </c>
      <c r="E24" s="70"/>
      <c r="F24" s="71"/>
      <c r="G24" s="67">
        <f t="shared" ref="G24:N24" si="7">G14+G23</f>
        <v>50.843333333333334</v>
      </c>
      <c r="H24" s="68">
        <f t="shared" si="7"/>
        <v>57.018333333333331</v>
      </c>
      <c r="I24" s="67">
        <f t="shared" si="7"/>
        <v>58.601666666666667</v>
      </c>
      <c r="J24" s="68">
        <f t="shared" si="7"/>
        <v>68.686666666666667</v>
      </c>
      <c r="K24" s="67">
        <f t="shared" si="7"/>
        <v>186.55250000000001</v>
      </c>
      <c r="L24" s="68">
        <f t="shared" si="7"/>
        <v>201.9075</v>
      </c>
      <c r="M24" s="67">
        <f t="shared" si="7"/>
        <v>1476.9983333333334</v>
      </c>
      <c r="N24" s="69">
        <f t="shared" si="7"/>
        <v>1653.8833333333332</v>
      </c>
      <c r="O24" s="1"/>
    </row>
    <row r="25" spans="2:26" x14ac:dyDescent="0.25">
      <c r="B25" s="278" t="s">
        <v>180</v>
      </c>
      <c r="C25" s="242" t="s">
        <v>8</v>
      </c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4"/>
      <c r="Q25" s="16" t="s">
        <v>24</v>
      </c>
    </row>
    <row r="26" spans="2:26" x14ac:dyDescent="0.25">
      <c r="B26" s="279"/>
      <c r="C26" s="21" t="s">
        <v>232</v>
      </c>
      <c r="D26" s="8" t="s">
        <v>233</v>
      </c>
      <c r="E26" s="137">
        <v>150</v>
      </c>
      <c r="F26" s="30">
        <v>200</v>
      </c>
      <c r="G26" s="22">
        <f>E26*4.35/100</f>
        <v>6.5250000000000004</v>
      </c>
      <c r="H26" s="33">
        <f>F26*4.35/100</f>
        <v>8.6999999999999993</v>
      </c>
      <c r="I26" s="22">
        <f>E26*3.74/100</f>
        <v>5.61</v>
      </c>
      <c r="J26" s="33">
        <f>F26*3.74/100</f>
        <v>7.48</v>
      </c>
      <c r="K26" s="22">
        <f>E26*15.7/100</f>
        <v>23.55</v>
      </c>
      <c r="L26" s="33">
        <f>F26*15.7/100</f>
        <v>31.4</v>
      </c>
      <c r="M26" s="22">
        <f t="shared" ref="M26:N26" si="8">G26*4+I26*9+K26*4</f>
        <v>170.79000000000002</v>
      </c>
      <c r="N26" s="35">
        <f t="shared" si="8"/>
        <v>227.72</v>
      </c>
    </row>
    <row r="27" spans="2:26" x14ac:dyDescent="0.25">
      <c r="B27" s="279"/>
      <c r="C27" s="96" t="s">
        <v>116</v>
      </c>
      <c r="D27" s="97" t="s">
        <v>117</v>
      </c>
      <c r="E27" s="84">
        <v>10</v>
      </c>
      <c r="F27" s="95">
        <v>10</v>
      </c>
      <c r="G27" s="22">
        <f>E27*0.8/100</f>
        <v>0.08</v>
      </c>
      <c r="H27" s="33">
        <f>F27*0.8/100</f>
        <v>0.08</v>
      </c>
      <c r="I27" s="22">
        <f>E27*72.5/100</f>
        <v>7.25</v>
      </c>
      <c r="J27" s="33">
        <f>F27*72.5/100</f>
        <v>7.25</v>
      </c>
      <c r="K27" s="22">
        <f>E27*1.3/100</f>
        <v>0.13</v>
      </c>
      <c r="L27" s="33">
        <f>F27*1.3/100</f>
        <v>0.13</v>
      </c>
      <c r="M27" s="22">
        <f t="shared" ref="M27:N28" si="9">G27*4+I27*9+K27*4</f>
        <v>66.089999999999989</v>
      </c>
      <c r="N27" s="35">
        <f t="shared" si="9"/>
        <v>66.089999999999989</v>
      </c>
    </row>
    <row r="28" spans="2:26" x14ac:dyDescent="0.25">
      <c r="B28" s="279"/>
      <c r="C28" s="96" t="s">
        <v>110</v>
      </c>
      <c r="D28" s="97" t="s">
        <v>111</v>
      </c>
      <c r="E28" s="177">
        <v>15</v>
      </c>
      <c r="F28" s="95">
        <v>15</v>
      </c>
      <c r="G28" s="22">
        <f>E28*23.2/100</f>
        <v>3.48</v>
      </c>
      <c r="H28" s="33">
        <f>F28*23.2/100</f>
        <v>3.48</v>
      </c>
      <c r="I28" s="22">
        <f>E28*29.5/100</f>
        <v>4.4249999999999998</v>
      </c>
      <c r="J28" s="33">
        <f>F28*29.5/100</f>
        <v>4.4249999999999998</v>
      </c>
      <c r="K28" s="22">
        <f>E28*0/100</f>
        <v>0</v>
      </c>
      <c r="L28" s="33">
        <f>F28*0/100</f>
        <v>0</v>
      </c>
      <c r="M28" s="22">
        <f t="shared" si="9"/>
        <v>53.744999999999997</v>
      </c>
      <c r="N28" s="35">
        <f t="shared" si="9"/>
        <v>53.744999999999997</v>
      </c>
    </row>
    <row r="29" spans="2:26" x14ac:dyDescent="0.25">
      <c r="B29" s="279"/>
      <c r="C29" s="20" t="s">
        <v>73</v>
      </c>
      <c r="D29" s="9" t="s">
        <v>74</v>
      </c>
      <c r="E29" s="84">
        <v>200</v>
      </c>
      <c r="F29" s="31">
        <v>200</v>
      </c>
      <c r="G29" s="22">
        <f>E29*1.4/200</f>
        <v>1.4</v>
      </c>
      <c r="H29" s="33">
        <f>F29*1.4/200</f>
        <v>1.4</v>
      </c>
      <c r="I29" s="22">
        <f>E29*1.2/200</f>
        <v>1.2</v>
      </c>
      <c r="J29" s="33">
        <f>F29*1.2/200</f>
        <v>1.2</v>
      </c>
      <c r="K29" s="22">
        <f>E29*11.4/200</f>
        <v>11.4</v>
      </c>
      <c r="L29" s="33">
        <f>F29*11.4/200</f>
        <v>11.4</v>
      </c>
      <c r="M29" s="22">
        <f>G29*4+I29*9+K29*4</f>
        <v>62</v>
      </c>
      <c r="N29" s="35">
        <f>H29*4+J29*9+L29*4</f>
        <v>62</v>
      </c>
    </row>
    <row r="30" spans="2:26" x14ac:dyDescent="0.25">
      <c r="B30" s="279"/>
      <c r="C30" s="21" t="s">
        <v>79</v>
      </c>
      <c r="D30" s="6" t="s">
        <v>23</v>
      </c>
      <c r="E30" s="62">
        <v>20</v>
      </c>
      <c r="F30" s="63">
        <v>20</v>
      </c>
      <c r="G30" s="22">
        <f>E30*8/100</f>
        <v>1.6</v>
      </c>
      <c r="H30" s="33">
        <f>F30*8/100</f>
        <v>1.6</v>
      </c>
      <c r="I30" s="22">
        <f>E30*1.5/100</f>
        <v>0.3</v>
      </c>
      <c r="J30" s="33">
        <f>F30*1.5/100</f>
        <v>0.3</v>
      </c>
      <c r="K30" s="22">
        <f>E30*40.1/100</f>
        <v>8.02</v>
      </c>
      <c r="L30" s="33">
        <f>F30*40.1/100</f>
        <v>8.02</v>
      </c>
      <c r="M30" s="22">
        <f t="shared" ref="M30" si="10">G30*4+I30*9+K30*4</f>
        <v>41.18</v>
      </c>
      <c r="N30" s="35">
        <f t="shared" ref="N30" si="11">H30*4+J30*9+L30*4</f>
        <v>41.18</v>
      </c>
    </row>
    <row r="31" spans="2:26" x14ac:dyDescent="0.25">
      <c r="B31" s="279"/>
      <c r="C31" s="21" t="s">
        <v>80</v>
      </c>
      <c r="D31" s="6" t="s">
        <v>81</v>
      </c>
      <c r="E31" s="62">
        <v>40</v>
      </c>
      <c r="F31" s="63">
        <v>40</v>
      </c>
      <c r="G31" s="22">
        <f>E31*7.6/100</f>
        <v>3.04</v>
      </c>
      <c r="H31" s="33">
        <f>F31*7.6/100</f>
        <v>3.04</v>
      </c>
      <c r="I31" s="22">
        <f>E31*0.8/100</f>
        <v>0.32</v>
      </c>
      <c r="J31" s="33">
        <f>F31*0.8/100</f>
        <v>0.32</v>
      </c>
      <c r="K31" s="22">
        <f>E31*49.2/100</f>
        <v>19.68</v>
      </c>
      <c r="L31" s="33">
        <f>F31*49.2/100</f>
        <v>19.68</v>
      </c>
      <c r="M31" s="22">
        <f t="shared" ref="M31:N31" si="12">G31*4+I31*9+K31*4</f>
        <v>93.759999999999991</v>
      </c>
      <c r="N31" s="35">
        <f t="shared" si="12"/>
        <v>93.759999999999991</v>
      </c>
    </row>
    <row r="32" spans="2:26" x14ac:dyDescent="0.25">
      <c r="B32" s="279"/>
      <c r="C32" s="21" t="s">
        <v>112</v>
      </c>
      <c r="D32" s="6" t="s">
        <v>113</v>
      </c>
      <c r="E32" s="84">
        <v>150</v>
      </c>
      <c r="F32" s="31">
        <v>150</v>
      </c>
      <c r="G32" s="22">
        <f>E32*0.4/100</f>
        <v>0.6</v>
      </c>
      <c r="H32" s="33">
        <f>F32*0.4/100</f>
        <v>0.6</v>
      </c>
      <c r="I32" s="22">
        <f>E32*0.4/100</f>
        <v>0.6</v>
      </c>
      <c r="J32" s="33">
        <f>F32*0.4/100</f>
        <v>0.6</v>
      </c>
      <c r="K32" s="22">
        <f>E32*9.8/100</f>
        <v>14.7</v>
      </c>
      <c r="L32" s="33">
        <f>F32*9.8/100</f>
        <v>14.7</v>
      </c>
      <c r="M32" s="22">
        <f>G32*4+I32*9+K32*4</f>
        <v>66.599999999999994</v>
      </c>
      <c r="N32" s="35">
        <f>H32*4+J32*9+L32*4</f>
        <v>66.599999999999994</v>
      </c>
    </row>
    <row r="33" spans="2:14" x14ac:dyDescent="0.25">
      <c r="B33" s="279"/>
      <c r="C33" s="26"/>
      <c r="D33" s="4" t="s">
        <v>13</v>
      </c>
      <c r="E33" s="24">
        <f t="shared" ref="E33:L33" si="13">SUM(E26:E32)</f>
        <v>585</v>
      </c>
      <c r="F33" s="32">
        <f t="shared" si="13"/>
        <v>635</v>
      </c>
      <c r="G33" s="178">
        <f t="shared" si="13"/>
        <v>16.725000000000001</v>
      </c>
      <c r="H33" s="34">
        <f t="shared" si="13"/>
        <v>18.900000000000002</v>
      </c>
      <c r="I33" s="7">
        <f t="shared" si="13"/>
        <v>19.705000000000002</v>
      </c>
      <c r="J33" s="34">
        <f t="shared" si="13"/>
        <v>21.575000000000003</v>
      </c>
      <c r="K33" s="178">
        <f t="shared" si="13"/>
        <v>77.47999999999999</v>
      </c>
      <c r="L33" s="34">
        <f t="shared" si="13"/>
        <v>85.33</v>
      </c>
      <c r="M33" s="7">
        <f>G33*4+I33*9+K33*4</f>
        <v>554.16499999999996</v>
      </c>
      <c r="N33" s="36">
        <f>H33*4+J33*9+L33*4</f>
        <v>611.09500000000003</v>
      </c>
    </row>
    <row r="34" spans="2:14" x14ac:dyDescent="0.25">
      <c r="B34" s="279"/>
      <c r="C34" s="235" t="s">
        <v>9</v>
      </c>
      <c r="D34" s="236"/>
      <c r="E34" s="236"/>
      <c r="F34" s="236"/>
      <c r="G34" s="236"/>
      <c r="H34" s="236"/>
      <c r="I34" s="236"/>
      <c r="J34" s="236"/>
      <c r="K34" s="236"/>
      <c r="L34" s="236"/>
      <c r="M34" s="236"/>
      <c r="N34" s="237"/>
    </row>
    <row r="35" spans="2:14" x14ac:dyDescent="0.25">
      <c r="B35" s="279"/>
      <c r="C35" s="20" t="s">
        <v>228</v>
      </c>
      <c r="D35" s="8" t="s">
        <v>229</v>
      </c>
      <c r="E35" s="138">
        <v>60</v>
      </c>
      <c r="F35" s="43">
        <v>100</v>
      </c>
      <c r="G35" s="23">
        <f>E35*1.4/100</f>
        <v>0.84</v>
      </c>
      <c r="H35" s="44">
        <f>F35*1.4/100</f>
        <v>1.4</v>
      </c>
      <c r="I35" s="23">
        <f>E35*6.1/100</f>
        <v>3.66</v>
      </c>
      <c r="J35" s="44">
        <f>F35*6.1/100</f>
        <v>6.1</v>
      </c>
      <c r="K35" s="23">
        <f>E35*12.1/100</f>
        <v>7.26</v>
      </c>
      <c r="L35" s="44">
        <f>F35*12.1/100</f>
        <v>12.1</v>
      </c>
      <c r="M35" s="23">
        <f>G35*4+I35*9+K35*4</f>
        <v>65.34</v>
      </c>
      <c r="N35" s="41">
        <f>H35*4+J35*9+L35*4</f>
        <v>108.9</v>
      </c>
    </row>
    <row r="36" spans="2:14" x14ac:dyDescent="0.25">
      <c r="B36" s="279"/>
      <c r="C36" s="58" t="s">
        <v>64</v>
      </c>
      <c r="D36" s="9" t="s">
        <v>65</v>
      </c>
      <c r="E36" s="84">
        <v>200</v>
      </c>
      <c r="F36" s="37">
        <v>250</v>
      </c>
      <c r="G36" s="22">
        <f>E36*1.05/100</f>
        <v>2.1</v>
      </c>
      <c r="H36" s="33">
        <f>F36*1.05/100</f>
        <v>2.625</v>
      </c>
      <c r="I36" s="22">
        <f>E36*2.04/100</f>
        <v>4.08</v>
      </c>
      <c r="J36" s="33">
        <f>F36*2.04/100</f>
        <v>5.0999999999999996</v>
      </c>
      <c r="K36" s="22">
        <f>E36*5.3/100</f>
        <v>10.6</v>
      </c>
      <c r="L36" s="33">
        <f>F36*5.3/100</f>
        <v>13.25</v>
      </c>
      <c r="M36" s="23">
        <f t="shared" ref="M36:N36" si="14">G36*4+I36*9+K36*4</f>
        <v>87.52</v>
      </c>
      <c r="N36" s="41">
        <f t="shared" si="14"/>
        <v>109.4</v>
      </c>
    </row>
    <row r="37" spans="2:14" x14ac:dyDescent="0.25">
      <c r="B37" s="279"/>
      <c r="C37" s="21" t="s">
        <v>33</v>
      </c>
      <c r="D37" s="6" t="s">
        <v>10</v>
      </c>
      <c r="E37" s="137">
        <v>150</v>
      </c>
      <c r="F37" s="31">
        <v>180</v>
      </c>
      <c r="G37" s="22">
        <f>E37*3.63/100</f>
        <v>5.4450000000000003</v>
      </c>
      <c r="H37" s="33">
        <f>F37*3.63/100</f>
        <v>6.5339999999999998</v>
      </c>
      <c r="I37" s="22">
        <f>E37*4.5/100</f>
        <v>6.75</v>
      </c>
      <c r="J37" s="33">
        <f>F37*4.5/100</f>
        <v>8.1</v>
      </c>
      <c r="K37" s="22">
        <f>E37*22.5/100</f>
        <v>33.75</v>
      </c>
      <c r="L37" s="33">
        <f>F37*22.5/100</f>
        <v>40.5</v>
      </c>
      <c r="M37" s="22">
        <f>G37*4+I37*9+K37*4</f>
        <v>217.53</v>
      </c>
      <c r="N37" s="35">
        <f>H37*4+J37*9+L37*4</f>
        <v>261.036</v>
      </c>
    </row>
    <row r="38" spans="2:14" x14ac:dyDescent="0.25">
      <c r="B38" s="279"/>
      <c r="C38" s="20" t="s">
        <v>165</v>
      </c>
      <c r="D38" s="9" t="s">
        <v>166</v>
      </c>
      <c r="E38" s="84">
        <v>90</v>
      </c>
      <c r="F38" s="31">
        <v>100</v>
      </c>
      <c r="G38" s="22">
        <f>E38*11/100</f>
        <v>9.9</v>
      </c>
      <c r="H38" s="33">
        <f>F38*11/100</f>
        <v>11</v>
      </c>
      <c r="I38" s="22">
        <f>E38*12.4/100</f>
        <v>11.16</v>
      </c>
      <c r="J38" s="33">
        <f>F38*12.4/100</f>
        <v>12.4</v>
      </c>
      <c r="K38" s="22">
        <f>E38*4/100</f>
        <v>3.6</v>
      </c>
      <c r="L38" s="33">
        <f>F38*4/100</f>
        <v>4</v>
      </c>
      <c r="M38" s="22">
        <f t="shared" ref="M38:N40" si="15">G38*4+I38*9+K38*4</f>
        <v>154.44</v>
      </c>
      <c r="N38" s="35">
        <f t="shared" si="15"/>
        <v>171.60000000000002</v>
      </c>
    </row>
    <row r="39" spans="2:14" x14ac:dyDescent="0.25">
      <c r="B39" s="279"/>
      <c r="C39" s="20" t="s">
        <v>62</v>
      </c>
      <c r="D39" s="9" t="s">
        <v>63</v>
      </c>
      <c r="E39" s="137">
        <v>40</v>
      </c>
      <c r="F39" s="31">
        <v>50</v>
      </c>
      <c r="G39" s="22">
        <f>E39*1.3/50</f>
        <v>1.04</v>
      </c>
      <c r="H39" s="33">
        <f>F39*1.3/50</f>
        <v>1.3</v>
      </c>
      <c r="I39" s="22">
        <f>E39*4.8/50</f>
        <v>3.84</v>
      </c>
      <c r="J39" s="33">
        <f>F39*4.8/50</f>
        <v>4.8</v>
      </c>
      <c r="K39" s="22">
        <f>E39*4.7/50</f>
        <v>3.76</v>
      </c>
      <c r="L39" s="33">
        <f>F39*4.7/50</f>
        <v>4.7</v>
      </c>
      <c r="M39" s="22">
        <f t="shared" si="15"/>
        <v>53.76</v>
      </c>
      <c r="N39" s="35">
        <f t="shared" si="15"/>
        <v>67.2</v>
      </c>
    </row>
    <row r="40" spans="2:14" x14ac:dyDescent="0.25">
      <c r="B40" s="279"/>
      <c r="C40" s="20" t="s">
        <v>130</v>
      </c>
      <c r="D40" s="9" t="s">
        <v>131</v>
      </c>
      <c r="E40" s="84">
        <v>200</v>
      </c>
      <c r="F40" s="31">
        <v>200</v>
      </c>
      <c r="G40" s="22">
        <f>E40*0.67/200</f>
        <v>0.67</v>
      </c>
      <c r="H40" s="33">
        <f>F40*0.67/200</f>
        <v>0.67</v>
      </c>
      <c r="I40" s="22">
        <f>E40*0.27/200</f>
        <v>0.27</v>
      </c>
      <c r="J40" s="33">
        <f>F40*0.27/200</f>
        <v>0.27</v>
      </c>
      <c r="K40" s="22">
        <f>E40*18.3/200</f>
        <v>18.3</v>
      </c>
      <c r="L40" s="33">
        <f>F40*18.3/200</f>
        <v>18.3</v>
      </c>
      <c r="M40" s="22">
        <f t="shared" si="15"/>
        <v>78.31</v>
      </c>
      <c r="N40" s="35">
        <f t="shared" si="15"/>
        <v>78.31</v>
      </c>
    </row>
    <row r="41" spans="2:14" x14ac:dyDescent="0.25">
      <c r="B41" s="279"/>
      <c r="C41" s="21" t="s">
        <v>79</v>
      </c>
      <c r="D41" s="6" t="s">
        <v>23</v>
      </c>
      <c r="E41" s="62">
        <v>30</v>
      </c>
      <c r="F41" s="63">
        <v>30</v>
      </c>
      <c r="G41" s="22">
        <f>E41*8/100</f>
        <v>2.4</v>
      </c>
      <c r="H41" s="33">
        <f>F41*8/100</f>
        <v>2.4</v>
      </c>
      <c r="I41" s="22">
        <f>E41*1.5/100</f>
        <v>0.45</v>
      </c>
      <c r="J41" s="33">
        <f>F41*1.5/100</f>
        <v>0.45</v>
      </c>
      <c r="K41" s="22">
        <f>E41*40.1/100</f>
        <v>12.03</v>
      </c>
      <c r="L41" s="33">
        <f>F41*40.1/100</f>
        <v>12.03</v>
      </c>
      <c r="M41" s="22">
        <f t="shared" ref="M41:N42" si="16">G41*4+I41*9+K41*4</f>
        <v>61.769999999999996</v>
      </c>
      <c r="N41" s="35">
        <f t="shared" si="16"/>
        <v>61.769999999999996</v>
      </c>
    </row>
    <row r="42" spans="2:14" x14ac:dyDescent="0.25">
      <c r="B42" s="279"/>
      <c r="C42" s="21" t="s">
        <v>80</v>
      </c>
      <c r="D42" s="6" t="s">
        <v>81</v>
      </c>
      <c r="E42" s="62">
        <v>40</v>
      </c>
      <c r="F42" s="63">
        <v>40</v>
      </c>
      <c r="G42" s="22">
        <f>E42*7.6/100</f>
        <v>3.04</v>
      </c>
      <c r="H42" s="33">
        <f>F42*7.6/100</f>
        <v>3.04</v>
      </c>
      <c r="I42" s="22">
        <f>E42*0.8/100</f>
        <v>0.32</v>
      </c>
      <c r="J42" s="33">
        <f>F42*0.8/100</f>
        <v>0.32</v>
      </c>
      <c r="K42" s="22">
        <f>E42*49.2/100</f>
        <v>19.68</v>
      </c>
      <c r="L42" s="33">
        <f>F42*49.2/100</f>
        <v>19.68</v>
      </c>
      <c r="M42" s="22">
        <f t="shared" si="16"/>
        <v>93.759999999999991</v>
      </c>
      <c r="N42" s="35">
        <f t="shared" si="16"/>
        <v>93.759999999999991</v>
      </c>
    </row>
    <row r="43" spans="2:14" x14ac:dyDescent="0.25">
      <c r="B43" s="279"/>
      <c r="C43" s="21"/>
      <c r="D43" s="4" t="s">
        <v>14</v>
      </c>
      <c r="E43" s="24">
        <f>SUM(E35:E42)</f>
        <v>810</v>
      </c>
      <c r="F43" s="38">
        <f t="shared" ref="F43:N43" si="17">SUM(F35:F42)</f>
        <v>950</v>
      </c>
      <c r="G43" s="7">
        <f>SUM(G35:G42)</f>
        <v>25.434999999999999</v>
      </c>
      <c r="H43" s="34">
        <f>SUM(H35:H42)</f>
        <v>28.969000000000001</v>
      </c>
      <c r="I43" s="7">
        <f t="shared" si="17"/>
        <v>30.529999999999998</v>
      </c>
      <c r="J43" s="34">
        <f t="shared" si="17"/>
        <v>37.54</v>
      </c>
      <c r="K43" s="178">
        <f t="shared" si="17"/>
        <v>108.97999999999999</v>
      </c>
      <c r="L43" s="34">
        <f t="shared" si="17"/>
        <v>124.56</v>
      </c>
      <c r="M43" s="7">
        <f>SUM(M35:M42)</f>
        <v>812.42999999999984</v>
      </c>
      <c r="N43" s="36">
        <f t="shared" si="17"/>
        <v>951.97600000000011</v>
      </c>
    </row>
    <row r="44" spans="2:14" ht="15.75" thickBot="1" x14ac:dyDescent="0.3">
      <c r="B44" s="280"/>
      <c r="C44" s="25"/>
      <c r="D44" s="17" t="s">
        <v>12</v>
      </c>
      <c r="E44" s="18"/>
      <c r="F44" s="39"/>
      <c r="G44" s="179">
        <f t="shared" ref="G44:N44" si="18">G33+G43</f>
        <v>42.16</v>
      </c>
      <c r="H44" s="40">
        <f>H33+H43</f>
        <v>47.869</v>
      </c>
      <c r="I44" s="19">
        <f t="shared" si="18"/>
        <v>50.234999999999999</v>
      </c>
      <c r="J44" s="40">
        <f t="shared" si="18"/>
        <v>59.115000000000002</v>
      </c>
      <c r="K44" s="19">
        <f>K33+K43</f>
        <v>186.45999999999998</v>
      </c>
      <c r="L44" s="40">
        <f t="shared" si="18"/>
        <v>209.89</v>
      </c>
      <c r="M44" s="19">
        <f>M33+M43</f>
        <v>1366.5949999999998</v>
      </c>
      <c r="N44" s="42">
        <f t="shared" si="18"/>
        <v>1563.0710000000001</v>
      </c>
    </row>
    <row r="45" spans="2:14" ht="15" customHeight="1" x14ac:dyDescent="0.25">
      <c r="B45" s="295" t="s">
        <v>181</v>
      </c>
      <c r="C45" s="242" t="s">
        <v>8</v>
      </c>
      <c r="D45" s="243"/>
      <c r="E45" s="243"/>
      <c r="F45" s="243"/>
      <c r="G45" s="243"/>
      <c r="H45" s="243"/>
      <c r="I45" s="243"/>
      <c r="J45" s="243"/>
      <c r="K45" s="243"/>
      <c r="L45" s="243"/>
      <c r="M45" s="243"/>
      <c r="N45" s="244"/>
    </row>
    <row r="46" spans="2:14" x14ac:dyDescent="0.25">
      <c r="B46" s="296"/>
      <c r="C46" s="20" t="s">
        <v>94</v>
      </c>
      <c r="D46" s="8" t="s">
        <v>95</v>
      </c>
      <c r="E46" s="104">
        <v>150</v>
      </c>
      <c r="F46" s="30">
        <v>200</v>
      </c>
      <c r="G46" s="22">
        <f>E46*3.5/100</f>
        <v>5.25</v>
      </c>
      <c r="H46" s="33">
        <f>F46*3.5/100</f>
        <v>7</v>
      </c>
      <c r="I46" s="22">
        <f>E46*4.13/100</f>
        <v>6.1950000000000003</v>
      </c>
      <c r="J46" s="33">
        <f>F46*4.13/100</f>
        <v>8.26</v>
      </c>
      <c r="K46" s="22">
        <f>E46*14.21/100</f>
        <v>21.315000000000001</v>
      </c>
      <c r="L46" s="33">
        <f>F46*14.21/100</f>
        <v>28.42</v>
      </c>
      <c r="M46" s="22">
        <f t="shared" ref="M46:N47" si="19">G46*4+I46*9+K46*4</f>
        <v>162.01499999999999</v>
      </c>
      <c r="N46" s="35">
        <f t="shared" si="19"/>
        <v>216.02</v>
      </c>
    </row>
    <row r="47" spans="2:14" x14ac:dyDescent="0.25">
      <c r="B47" s="296"/>
      <c r="C47" s="96" t="s">
        <v>110</v>
      </c>
      <c r="D47" s="97" t="s">
        <v>111</v>
      </c>
      <c r="E47" s="104">
        <v>15</v>
      </c>
      <c r="F47" s="95">
        <v>15</v>
      </c>
      <c r="G47" s="22">
        <f>E47*23.2/100</f>
        <v>3.48</v>
      </c>
      <c r="H47" s="33">
        <f>F47*23.2/100</f>
        <v>3.48</v>
      </c>
      <c r="I47" s="22">
        <f>E47*29.5/100</f>
        <v>4.4249999999999998</v>
      </c>
      <c r="J47" s="33">
        <f>F47*29.5/100</f>
        <v>4.4249999999999998</v>
      </c>
      <c r="K47" s="22">
        <f>E47*0/100</f>
        <v>0</v>
      </c>
      <c r="L47" s="33">
        <f>F47*0/100</f>
        <v>0</v>
      </c>
      <c r="M47" s="22">
        <f t="shared" si="19"/>
        <v>53.744999999999997</v>
      </c>
      <c r="N47" s="35">
        <f t="shared" si="19"/>
        <v>53.744999999999997</v>
      </c>
    </row>
    <row r="48" spans="2:14" x14ac:dyDescent="0.25">
      <c r="B48" s="296"/>
      <c r="C48" s="21" t="s">
        <v>44</v>
      </c>
      <c r="D48" s="6" t="s">
        <v>11</v>
      </c>
      <c r="E48" s="104">
        <v>200</v>
      </c>
      <c r="F48" s="31">
        <v>200</v>
      </c>
      <c r="G48" s="22">
        <f>E48*0.3/200</f>
        <v>0.3</v>
      </c>
      <c r="H48" s="33">
        <f>F48*0.3/200</f>
        <v>0.3</v>
      </c>
      <c r="I48" s="22">
        <f t="shared" ref="I48:J48" si="20">E48*0.1/200</f>
        <v>0.1</v>
      </c>
      <c r="J48" s="33">
        <f t="shared" si="20"/>
        <v>0.1</v>
      </c>
      <c r="K48" s="22">
        <f>E48*9.5/200</f>
        <v>9.5</v>
      </c>
      <c r="L48" s="33">
        <f>F48*9.5/200</f>
        <v>9.5</v>
      </c>
      <c r="M48" s="22">
        <f>G48*4+I48*9+K48*4</f>
        <v>40.1</v>
      </c>
      <c r="N48" s="35">
        <f>H48*4+J48*9+L48*4</f>
        <v>40.1</v>
      </c>
    </row>
    <row r="49" spans="2:15" x14ac:dyDescent="0.25">
      <c r="B49" s="296"/>
      <c r="C49" s="21" t="s">
        <v>79</v>
      </c>
      <c r="D49" s="6" t="s">
        <v>23</v>
      </c>
      <c r="E49" s="62">
        <v>20</v>
      </c>
      <c r="F49" s="63">
        <v>20</v>
      </c>
      <c r="G49" s="22">
        <f>E49*8/100</f>
        <v>1.6</v>
      </c>
      <c r="H49" s="33">
        <f>F49*8/100</f>
        <v>1.6</v>
      </c>
      <c r="I49" s="22">
        <f>E49*1.5/100</f>
        <v>0.3</v>
      </c>
      <c r="J49" s="33">
        <f>F49*1.5/100</f>
        <v>0.3</v>
      </c>
      <c r="K49" s="22">
        <f>E49*40.1/100</f>
        <v>8.02</v>
      </c>
      <c r="L49" s="33">
        <f>F49*40.1/100</f>
        <v>8.02</v>
      </c>
      <c r="M49" s="22">
        <f t="shared" ref="M49" si="21">G49*4+I49*9+K49*4</f>
        <v>41.18</v>
      </c>
      <c r="N49" s="35">
        <f t="shared" ref="N49" si="22">H49*4+J49*9+L49*4</f>
        <v>41.18</v>
      </c>
    </row>
    <row r="50" spans="2:15" x14ac:dyDescent="0.25">
      <c r="B50" s="296"/>
      <c r="C50" s="21" t="s">
        <v>80</v>
      </c>
      <c r="D50" s="6" t="s">
        <v>81</v>
      </c>
      <c r="E50" s="62">
        <v>20</v>
      </c>
      <c r="F50" s="63">
        <v>20</v>
      </c>
      <c r="G50" s="22">
        <f>E50*7.6/100</f>
        <v>1.52</v>
      </c>
      <c r="H50" s="33">
        <f>F50*7.6/100</f>
        <v>1.52</v>
      </c>
      <c r="I50" s="22">
        <f>E50*0.8/100</f>
        <v>0.16</v>
      </c>
      <c r="J50" s="33">
        <f>F50*0.8/100</f>
        <v>0.16</v>
      </c>
      <c r="K50" s="22">
        <f>E50*49.2/100</f>
        <v>9.84</v>
      </c>
      <c r="L50" s="33">
        <f>F50*49.2/100</f>
        <v>9.84</v>
      </c>
      <c r="M50" s="22">
        <f t="shared" ref="M50:N50" si="23">G50*4+I50*9+K50*4</f>
        <v>46.879999999999995</v>
      </c>
      <c r="N50" s="35">
        <f t="shared" si="23"/>
        <v>46.879999999999995</v>
      </c>
    </row>
    <row r="51" spans="2:15" x14ac:dyDescent="0.25">
      <c r="B51" s="296"/>
      <c r="C51" s="105" t="s">
        <v>230</v>
      </c>
      <c r="D51" s="141" t="s">
        <v>231</v>
      </c>
      <c r="E51" s="112">
        <v>30</v>
      </c>
      <c r="F51" s="113">
        <v>30</v>
      </c>
      <c r="G51" s="142">
        <f>6.56/100*E51</f>
        <v>1.9679999999999997</v>
      </c>
      <c r="H51" s="114">
        <f>6.56/100*F51</f>
        <v>1.9679999999999997</v>
      </c>
      <c r="I51" s="142">
        <f>7.62/100*E51</f>
        <v>2.286</v>
      </c>
      <c r="J51" s="114">
        <f>7.62/100*F51</f>
        <v>2.286</v>
      </c>
      <c r="K51" s="142">
        <f>71.33/100*E51</f>
        <v>21.398999999999997</v>
      </c>
      <c r="L51" s="114">
        <f>71.33/100*F51</f>
        <v>21.398999999999997</v>
      </c>
      <c r="M51" s="142">
        <f t="shared" ref="M51:N51" si="24">4*G51+9*I51+4*K51</f>
        <v>114.04199999999999</v>
      </c>
      <c r="N51" s="115">
        <f t="shared" si="24"/>
        <v>114.04199999999999</v>
      </c>
    </row>
    <row r="52" spans="2:15" x14ac:dyDescent="0.25">
      <c r="B52" s="296"/>
      <c r="C52" s="21" t="s">
        <v>112</v>
      </c>
      <c r="D52" s="6" t="s">
        <v>113</v>
      </c>
      <c r="E52" s="104">
        <v>150</v>
      </c>
      <c r="F52" s="31">
        <v>150</v>
      </c>
      <c r="G52" s="22">
        <f>E52*0.4/100</f>
        <v>0.6</v>
      </c>
      <c r="H52" s="33">
        <f>F52*0.4/100</f>
        <v>0.6</v>
      </c>
      <c r="I52" s="22">
        <f>E52*0.4/100</f>
        <v>0.6</v>
      </c>
      <c r="J52" s="33">
        <f>F52*0.4/100</f>
        <v>0.6</v>
      </c>
      <c r="K52" s="22">
        <f>E52*9.8/100</f>
        <v>14.7</v>
      </c>
      <c r="L52" s="33">
        <f>F52*9.8/100</f>
        <v>14.7</v>
      </c>
      <c r="M52" s="22">
        <f t="shared" ref="M52" si="25">G52*4+I52*9+K52*4</f>
        <v>66.599999999999994</v>
      </c>
      <c r="N52" s="35">
        <f t="shared" ref="N52" si="26">H52*4+J52*9+L52*4</f>
        <v>66.599999999999994</v>
      </c>
    </row>
    <row r="53" spans="2:15" x14ac:dyDescent="0.25">
      <c r="B53" s="296"/>
      <c r="C53" s="26"/>
      <c r="D53" s="4" t="s">
        <v>13</v>
      </c>
      <c r="E53" s="24">
        <f t="shared" ref="E53:L53" si="27">SUM(E46:E52)</f>
        <v>585</v>
      </c>
      <c r="F53" s="32">
        <f t="shared" si="27"/>
        <v>635</v>
      </c>
      <c r="G53" s="154">
        <f t="shared" si="27"/>
        <v>14.718</v>
      </c>
      <c r="H53" s="34">
        <f t="shared" si="27"/>
        <v>16.468</v>
      </c>
      <c r="I53" s="154">
        <f t="shared" si="27"/>
        <v>14.066000000000001</v>
      </c>
      <c r="J53" s="34">
        <f t="shared" si="27"/>
        <v>16.131</v>
      </c>
      <c r="K53" s="7">
        <f t="shared" si="27"/>
        <v>84.774000000000001</v>
      </c>
      <c r="L53" s="34">
        <f t="shared" si="27"/>
        <v>91.879000000000005</v>
      </c>
      <c r="M53" s="7">
        <f>G53*4+I53*9+K53*4</f>
        <v>524.56200000000001</v>
      </c>
      <c r="N53" s="36">
        <f>H53*4+J53*9+L53*4</f>
        <v>578.56700000000001</v>
      </c>
    </row>
    <row r="54" spans="2:15" x14ac:dyDescent="0.25">
      <c r="B54" s="296"/>
      <c r="C54" s="235" t="s">
        <v>9</v>
      </c>
      <c r="D54" s="236"/>
      <c r="E54" s="236"/>
      <c r="F54" s="236"/>
      <c r="G54" s="236"/>
      <c r="H54" s="236"/>
      <c r="I54" s="236"/>
      <c r="J54" s="236"/>
      <c r="K54" s="236"/>
      <c r="L54" s="236"/>
      <c r="M54" s="236"/>
      <c r="N54" s="237"/>
    </row>
    <row r="55" spans="2:15" x14ac:dyDescent="0.25">
      <c r="B55" s="296"/>
      <c r="C55" s="20" t="s">
        <v>128</v>
      </c>
      <c r="D55" s="9" t="s">
        <v>129</v>
      </c>
      <c r="E55" s="104">
        <v>60</v>
      </c>
      <c r="F55" s="37">
        <v>100</v>
      </c>
      <c r="G55" s="22">
        <f>E55*1.08/100</f>
        <v>0.64800000000000013</v>
      </c>
      <c r="H55" s="33">
        <f>F55*1.08/100</f>
        <v>1.08</v>
      </c>
      <c r="I55" s="22">
        <f>E55*6/100</f>
        <v>3.6</v>
      </c>
      <c r="J55" s="33">
        <f>F55*6/100</f>
        <v>6</v>
      </c>
      <c r="K55" s="22">
        <f>E55*8.9/100</f>
        <v>5.34</v>
      </c>
      <c r="L55" s="33">
        <f>F55*8.9/100</f>
        <v>8.9</v>
      </c>
      <c r="M55" s="23">
        <f t="shared" ref="M55:N59" si="28">G55*4+I55*9+K55*4</f>
        <v>56.351999999999997</v>
      </c>
      <c r="N55" s="41">
        <f t="shared" si="28"/>
        <v>93.92</v>
      </c>
    </row>
    <row r="56" spans="2:15" x14ac:dyDescent="0.25">
      <c r="B56" s="296"/>
      <c r="C56" s="102" t="s">
        <v>167</v>
      </c>
      <c r="D56" s="103" t="s">
        <v>168</v>
      </c>
      <c r="E56" s="104">
        <v>200</v>
      </c>
      <c r="F56" s="37">
        <v>250</v>
      </c>
      <c r="G56" s="22">
        <f>E56*2.48/100</f>
        <v>4.96</v>
      </c>
      <c r="H56" s="33">
        <f>F56*2.48/100</f>
        <v>6.2</v>
      </c>
      <c r="I56" s="22">
        <f>E56*2.24/100</f>
        <v>4.4800000000000004</v>
      </c>
      <c r="J56" s="33">
        <f>F56*2.24/100</f>
        <v>5.6</v>
      </c>
      <c r="K56" s="22">
        <f>E56*8.92/100</f>
        <v>17.84</v>
      </c>
      <c r="L56" s="33">
        <f>F56*8.92/100</f>
        <v>22.3</v>
      </c>
      <c r="M56" s="22">
        <f t="shared" si="28"/>
        <v>131.52000000000001</v>
      </c>
      <c r="N56" s="35">
        <f>H56*4+J56*9+L56*4</f>
        <v>164.4</v>
      </c>
    </row>
    <row r="57" spans="2:15" x14ac:dyDescent="0.25">
      <c r="B57" s="296"/>
      <c r="C57" s="21" t="s">
        <v>163</v>
      </c>
      <c r="D57" s="6" t="s">
        <v>164</v>
      </c>
      <c r="E57" s="137">
        <v>150</v>
      </c>
      <c r="F57" s="31">
        <v>180</v>
      </c>
      <c r="G57" s="22">
        <f>E57*2.1/100</f>
        <v>3.15</v>
      </c>
      <c r="H57" s="33">
        <f>F57*2.1/100</f>
        <v>3.78</v>
      </c>
      <c r="I57" s="22">
        <f>E57*6.4/100</f>
        <v>9.6</v>
      </c>
      <c r="J57" s="33">
        <f>F57*6.4/100</f>
        <v>11.52</v>
      </c>
      <c r="K57" s="22">
        <f>E57*18.5/100</f>
        <v>27.75</v>
      </c>
      <c r="L57" s="33">
        <f>F57*18.5/100</f>
        <v>33.299999999999997</v>
      </c>
      <c r="M57" s="22">
        <f>G57*4+I57*9+K57*4</f>
        <v>210</v>
      </c>
      <c r="N57" s="35">
        <f t="shared" ref="N57" si="29">H57*4+J57*9+L57*4</f>
        <v>252</v>
      </c>
    </row>
    <row r="58" spans="2:15" x14ac:dyDescent="0.25">
      <c r="B58" s="296"/>
      <c r="C58" s="20" t="s">
        <v>169</v>
      </c>
      <c r="D58" s="9" t="s">
        <v>170</v>
      </c>
      <c r="E58" s="104">
        <v>90</v>
      </c>
      <c r="F58" s="31">
        <v>100</v>
      </c>
      <c r="G58" s="22">
        <f>E58*11.55/100</f>
        <v>10.395</v>
      </c>
      <c r="H58" s="33">
        <f>F58*11.55/100</f>
        <v>11.55</v>
      </c>
      <c r="I58" s="22">
        <f>E58*17.8/100</f>
        <v>16.02</v>
      </c>
      <c r="J58" s="33">
        <f>F58*17.8/100</f>
        <v>17.8</v>
      </c>
      <c r="K58" s="22">
        <f>E58*7/100</f>
        <v>6.3</v>
      </c>
      <c r="L58" s="33">
        <f>F58*7/100</f>
        <v>7</v>
      </c>
      <c r="M58" s="22">
        <f t="shared" si="28"/>
        <v>210.95999999999998</v>
      </c>
      <c r="N58" s="35">
        <f t="shared" si="28"/>
        <v>234.40000000000003</v>
      </c>
    </row>
    <row r="59" spans="2:15" x14ac:dyDescent="0.25">
      <c r="B59" s="296"/>
      <c r="C59" s="21" t="s">
        <v>75</v>
      </c>
      <c r="D59" s="6" t="s">
        <v>76</v>
      </c>
      <c r="E59" s="104">
        <v>200</v>
      </c>
      <c r="F59" s="31">
        <v>200</v>
      </c>
      <c r="G59" s="22">
        <f>E59*0.5/100</f>
        <v>1</v>
      </c>
      <c r="H59" s="33">
        <f>F59*0.5/100</f>
        <v>1</v>
      </c>
      <c r="I59" s="22">
        <f>E59*0.1/100</f>
        <v>0.2</v>
      </c>
      <c r="J59" s="33">
        <f>F59*0.1/100</f>
        <v>0.2</v>
      </c>
      <c r="K59" s="22">
        <f>E59*10.1/100</f>
        <v>20.2</v>
      </c>
      <c r="L59" s="33">
        <f>F59*10.1/100</f>
        <v>20.2</v>
      </c>
      <c r="M59" s="22">
        <f t="shared" si="28"/>
        <v>86.6</v>
      </c>
      <c r="N59" s="35">
        <f t="shared" si="28"/>
        <v>86.6</v>
      </c>
    </row>
    <row r="60" spans="2:15" x14ac:dyDescent="0.25">
      <c r="B60" s="296"/>
      <c r="C60" s="21" t="s">
        <v>79</v>
      </c>
      <c r="D60" s="6" t="s">
        <v>23</v>
      </c>
      <c r="E60" s="62">
        <v>30</v>
      </c>
      <c r="F60" s="63">
        <v>30</v>
      </c>
      <c r="G60" s="22">
        <f>E60*8/100</f>
        <v>2.4</v>
      </c>
      <c r="H60" s="33">
        <f>F60*8/100</f>
        <v>2.4</v>
      </c>
      <c r="I60" s="22">
        <f>E60*1.5/100</f>
        <v>0.45</v>
      </c>
      <c r="J60" s="33">
        <f>F60*1.5/100</f>
        <v>0.45</v>
      </c>
      <c r="K60" s="22">
        <f>E60*40.1/100</f>
        <v>12.03</v>
      </c>
      <c r="L60" s="33">
        <f>F60*40.1/100</f>
        <v>12.03</v>
      </c>
      <c r="M60" s="22">
        <f t="shared" ref="M60:N61" si="30">G60*4+I60*9+K60*4</f>
        <v>61.769999999999996</v>
      </c>
      <c r="N60" s="35">
        <f t="shared" si="30"/>
        <v>61.769999999999996</v>
      </c>
    </row>
    <row r="61" spans="2:15" x14ac:dyDescent="0.25">
      <c r="B61" s="296"/>
      <c r="C61" s="21" t="s">
        <v>80</v>
      </c>
      <c r="D61" s="6" t="s">
        <v>81</v>
      </c>
      <c r="E61" s="62">
        <v>40</v>
      </c>
      <c r="F61" s="63">
        <v>40</v>
      </c>
      <c r="G61" s="22">
        <f>E61*7.6/100</f>
        <v>3.04</v>
      </c>
      <c r="H61" s="33">
        <f>F61*7.6/100</f>
        <v>3.04</v>
      </c>
      <c r="I61" s="22">
        <f>E61*0.8/100</f>
        <v>0.32</v>
      </c>
      <c r="J61" s="33">
        <f>F61*0.8/100</f>
        <v>0.32</v>
      </c>
      <c r="K61" s="22">
        <f>E61*49.2/100</f>
        <v>19.68</v>
      </c>
      <c r="L61" s="33">
        <f>F61*49.2/100</f>
        <v>19.68</v>
      </c>
      <c r="M61" s="22">
        <f t="shared" si="30"/>
        <v>93.759999999999991</v>
      </c>
      <c r="N61" s="35">
        <f t="shared" si="30"/>
        <v>93.759999999999991</v>
      </c>
    </row>
    <row r="62" spans="2:15" x14ac:dyDescent="0.25">
      <c r="B62" s="296"/>
      <c r="C62" s="21"/>
      <c r="D62" s="4" t="s">
        <v>14</v>
      </c>
      <c r="E62" s="24">
        <f t="shared" ref="E62:N62" si="31">SUM(E55:E61)</f>
        <v>770</v>
      </c>
      <c r="F62" s="38">
        <f t="shared" si="31"/>
        <v>900</v>
      </c>
      <c r="G62" s="178">
        <f t="shared" si="31"/>
        <v>25.592999999999996</v>
      </c>
      <c r="H62" s="34">
        <f>SUM(H55:H61)</f>
        <v>29.049999999999997</v>
      </c>
      <c r="I62" s="7">
        <f>SUM(I55:I61)</f>
        <v>34.670000000000009</v>
      </c>
      <c r="J62" s="34">
        <f t="shared" si="31"/>
        <v>41.890000000000008</v>
      </c>
      <c r="K62" s="178">
        <f t="shared" si="31"/>
        <v>109.13999999999999</v>
      </c>
      <c r="L62" s="34">
        <f t="shared" si="31"/>
        <v>123.41</v>
      </c>
      <c r="M62" s="7">
        <f>SUM(M55:M61)</f>
        <v>850.96199999999999</v>
      </c>
      <c r="N62" s="36">
        <f t="shared" si="31"/>
        <v>986.85</v>
      </c>
    </row>
    <row r="63" spans="2:15" ht="15.75" thickBot="1" x14ac:dyDescent="0.3">
      <c r="B63" s="297"/>
      <c r="C63" s="25"/>
      <c r="D63" s="17" t="s">
        <v>12</v>
      </c>
      <c r="E63" s="18"/>
      <c r="F63" s="39"/>
      <c r="G63" s="179">
        <f t="shared" ref="G63:N63" si="32">G53+G62</f>
        <v>40.310999999999993</v>
      </c>
      <c r="H63" s="40">
        <f>H53+H62</f>
        <v>45.518000000000001</v>
      </c>
      <c r="I63" s="19">
        <f t="shared" si="32"/>
        <v>48.736000000000011</v>
      </c>
      <c r="J63" s="40">
        <f t="shared" si="32"/>
        <v>58.021000000000008</v>
      </c>
      <c r="K63" s="19">
        <f t="shared" si="32"/>
        <v>193.91399999999999</v>
      </c>
      <c r="L63" s="40">
        <f t="shared" si="32"/>
        <v>215.28899999999999</v>
      </c>
      <c r="M63" s="19">
        <f>M53+M62</f>
        <v>1375.5239999999999</v>
      </c>
      <c r="N63" s="42">
        <f t="shared" si="32"/>
        <v>1565.4169999999999</v>
      </c>
    </row>
    <row r="64" spans="2:15" ht="15.75" customHeight="1" thickBot="1" x14ac:dyDescent="0.3">
      <c r="B64" s="53"/>
      <c r="C64" s="284" t="s">
        <v>49</v>
      </c>
      <c r="D64" s="284"/>
      <c r="E64" s="284"/>
      <c r="F64" s="284"/>
      <c r="G64" s="284"/>
      <c r="H64" s="284"/>
      <c r="I64" s="284"/>
      <c r="J64" s="284"/>
      <c r="K64" s="284"/>
      <c r="L64" s="284"/>
      <c r="M64" s="284"/>
      <c r="N64" s="284"/>
      <c r="O64" s="1"/>
    </row>
    <row r="65" spans="2:14" x14ac:dyDescent="0.25">
      <c r="B65" s="291" t="s">
        <v>26</v>
      </c>
      <c r="C65" s="292"/>
      <c r="D65" s="285" t="s">
        <v>27</v>
      </c>
      <c r="E65" s="286"/>
      <c r="F65" s="286"/>
      <c r="G65" s="286"/>
      <c r="H65" s="286"/>
      <c r="I65" s="286"/>
      <c r="J65" s="286"/>
      <c r="K65" s="286"/>
      <c r="L65" s="286"/>
      <c r="M65" s="286"/>
      <c r="N65" s="287"/>
    </row>
    <row r="66" spans="2:14" x14ac:dyDescent="0.25">
      <c r="B66" s="293"/>
      <c r="C66" s="294"/>
      <c r="D66" s="288" t="s">
        <v>37</v>
      </c>
      <c r="E66" s="289"/>
      <c r="F66" s="289"/>
      <c r="G66" s="289"/>
      <c r="H66" s="289"/>
      <c r="I66" s="289"/>
      <c r="J66" s="289"/>
      <c r="K66" s="289"/>
      <c r="L66" s="289"/>
      <c r="M66" s="289"/>
      <c r="N66" s="290"/>
    </row>
    <row r="67" spans="2:14" x14ac:dyDescent="0.25">
      <c r="B67" s="293" t="s">
        <v>28</v>
      </c>
      <c r="C67" s="294"/>
      <c r="D67" s="298" t="s">
        <v>29</v>
      </c>
      <c r="E67" s="299"/>
      <c r="F67" s="299"/>
      <c r="G67" s="299"/>
      <c r="H67" s="299"/>
      <c r="I67" s="299"/>
      <c r="J67" s="299"/>
      <c r="K67" s="299"/>
      <c r="L67" s="299"/>
      <c r="M67" s="299"/>
      <c r="N67" s="300"/>
    </row>
    <row r="68" spans="2:14" x14ac:dyDescent="0.25">
      <c r="B68" s="293"/>
      <c r="C68" s="294"/>
      <c r="D68" s="281" t="s">
        <v>30</v>
      </c>
      <c r="E68" s="282"/>
      <c r="F68" s="282"/>
      <c r="G68" s="282"/>
      <c r="H68" s="282"/>
      <c r="I68" s="282"/>
      <c r="J68" s="282"/>
      <c r="K68" s="282"/>
      <c r="L68" s="282"/>
      <c r="M68" s="282"/>
      <c r="N68" s="283"/>
    </row>
    <row r="69" spans="2:14" x14ac:dyDescent="0.25">
      <c r="B69" s="293" t="s">
        <v>31</v>
      </c>
      <c r="C69" s="294"/>
      <c r="D69" s="298" t="s">
        <v>29</v>
      </c>
      <c r="E69" s="299"/>
      <c r="F69" s="299"/>
      <c r="G69" s="299"/>
      <c r="H69" s="299"/>
      <c r="I69" s="299"/>
      <c r="J69" s="299"/>
      <c r="K69" s="299"/>
      <c r="L69" s="299"/>
      <c r="M69" s="299"/>
      <c r="N69" s="300"/>
    </row>
    <row r="70" spans="2:14" x14ac:dyDescent="0.25">
      <c r="B70" s="293"/>
      <c r="C70" s="294"/>
      <c r="D70" s="288" t="s">
        <v>32</v>
      </c>
      <c r="E70" s="289"/>
      <c r="F70" s="289"/>
      <c r="G70" s="289"/>
      <c r="H70" s="289"/>
      <c r="I70" s="289"/>
      <c r="J70" s="289"/>
      <c r="K70" s="289"/>
      <c r="L70" s="289"/>
      <c r="M70" s="289"/>
      <c r="N70" s="290"/>
    </row>
    <row r="71" spans="2:14" x14ac:dyDescent="0.25">
      <c r="B71" s="293" t="s">
        <v>34</v>
      </c>
      <c r="C71" s="294"/>
      <c r="D71" s="51" t="s">
        <v>35</v>
      </c>
      <c r="E71" s="10"/>
      <c r="F71" s="11"/>
      <c r="G71" s="11"/>
      <c r="H71" s="11"/>
      <c r="I71" s="11"/>
      <c r="J71" s="11"/>
      <c r="K71" s="11"/>
      <c r="L71" s="11"/>
      <c r="M71" s="11"/>
      <c r="N71" s="49"/>
    </row>
    <row r="72" spans="2:14" ht="15.75" thickBot="1" x14ac:dyDescent="0.3">
      <c r="B72" s="304"/>
      <c r="C72" s="305"/>
      <c r="D72" s="301" t="s">
        <v>36</v>
      </c>
      <c r="E72" s="302"/>
      <c r="F72" s="302"/>
      <c r="G72" s="302"/>
      <c r="H72" s="302"/>
      <c r="I72" s="302"/>
      <c r="J72" s="302"/>
      <c r="K72" s="302"/>
      <c r="L72" s="302"/>
      <c r="M72" s="302"/>
      <c r="N72" s="303"/>
    </row>
    <row r="75" spans="2:14" x14ac:dyDescent="0.25">
      <c r="D75" s="1"/>
    </row>
    <row r="76" spans="2:14" x14ac:dyDescent="0.25">
      <c r="D76" s="1"/>
      <c r="E76" s="16" t="s">
        <v>24</v>
      </c>
    </row>
    <row r="77" spans="2:14" x14ac:dyDescent="0.25">
      <c r="E77" s="16" t="s">
        <v>24</v>
      </c>
      <c r="F77" s="1"/>
    </row>
    <row r="85" spans="10:10" x14ac:dyDescent="0.25">
      <c r="J85" s="1"/>
    </row>
  </sheetData>
  <mergeCells count="31">
    <mergeCell ref="C15:N15"/>
    <mergeCell ref="B2:E2"/>
    <mergeCell ref="B3:B5"/>
    <mergeCell ref="C3:C5"/>
    <mergeCell ref="D3:D5"/>
    <mergeCell ref="E3:F4"/>
    <mergeCell ref="M3:N4"/>
    <mergeCell ref="G4:H4"/>
    <mergeCell ref="I4:J4"/>
    <mergeCell ref="K4:L4"/>
    <mergeCell ref="C6:N6"/>
    <mergeCell ref="G3:L3"/>
    <mergeCell ref="B6:B24"/>
    <mergeCell ref="D69:N69"/>
    <mergeCell ref="D70:N70"/>
    <mergeCell ref="D72:N72"/>
    <mergeCell ref="B67:C68"/>
    <mergeCell ref="B69:C70"/>
    <mergeCell ref="B71:C72"/>
    <mergeCell ref="D67:N67"/>
    <mergeCell ref="B25:B44"/>
    <mergeCell ref="D68:N68"/>
    <mergeCell ref="C64:N64"/>
    <mergeCell ref="D65:N65"/>
    <mergeCell ref="D66:N66"/>
    <mergeCell ref="B65:C66"/>
    <mergeCell ref="C25:N25"/>
    <mergeCell ref="C34:N34"/>
    <mergeCell ref="B45:B63"/>
    <mergeCell ref="C45:N45"/>
    <mergeCell ref="C54:N54"/>
  </mergeCells>
  <pageMargins left="0.23622047244094491" right="0.23622047244094491" top="0.19685039370078741" bottom="0.19685039370078741" header="0.31496062992125984" footer="0.31496062992125984"/>
  <pageSetup paperSize="9" scale="71" fitToHeight="0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сводная</vt:lpstr>
      <vt:lpstr>1-3 день</vt:lpstr>
      <vt:lpstr>4-6 день</vt:lpstr>
      <vt:lpstr>7-9 день</vt:lpstr>
      <vt:lpstr>10-12 день</vt:lpstr>
      <vt:lpstr>000</vt:lpstr>
      <vt:lpstr>'10-12 день'!Область_печати</vt:lpstr>
      <vt:lpstr>'7-9 день'!Область_печати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2025-04-02T11:56:29Z</dcterms:modified>
</cp:coreProperties>
</file>